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ФОНД\АКТУАЛИЗАЦИЯ ПОСТАНОВЛЕНИЙ\АКТУАЛИЗАЦИЯ 2025\АКТУАЛИЗАЦИЯ 2025 (часть 1)\2025 КП-2020-2022\"/>
    </mc:Choice>
  </mc:AlternateContent>
  <bookViews>
    <workbookView xWindow="0" yWindow="0" windowWidth="24000" windowHeight="9600"/>
  </bookViews>
  <sheets>
    <sheet name="Лист1" sheetId="1" r:id="rId1"/>
  </sheets>
  <definedNames>
    <definedName name="_xlnm._FilterDatabase" localSheetId="0" hidden="1">Лист1!$A$18:$AH$2293</definedName>
    <definedName name="_xlnm.Print_Titles" localSheetId="0">Лист1!$14:$17</definedName>
    <definedName name="_xlnm.Print_Area" localSheetId="0">Лист1!$A$1:$AB$778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54" i="1" l="1"/>
  <c r="A655" i="1"/>
  <c r="R655" i="1" l="1"/>
  <c r="V655" i="1" s="1"/>
  <c r="AA655" i="1" s="1"/>
  <c r="R654" i="1"/>
  <c r="V654" i="1" s="1"/>
  <c r="AA654" i="1" s="1"/>
  <c r="Y769" i="1" l="1"/>
  <c r="Z769" i="1"/>
  <c r="X769" i="1"/>
  <c r="A539" i="1" l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Z766" i="1"/>
  <c r="Y766" i="1"/>
  <c r="X766" i="1"/>
  <c r="P639" i="1" l="1"/>
  <c r="R731" i="1" l="1"/>
  <c r="R584" i="1"/>
  <c r="P585" i="1"/>
  <c r="M586" i="1"/>
  <c r="K586" i="1"/>
  <c r="V584" i="1" l="1"/>
  <c r="AA584" i="1" s="1"/>
  <c r="V585" i="1"/>
  <c r="AA585" i="1" s="1"/>
  <c r="V586" i="1" l="1"/>
  <c r="AA586" i="1" s="1"/>
  <c r="V731" i="1" l="1"/>
  <c r="AA731" i="1" s="1"/>
  <c r="A537" i="1" l="1"/>
  <c r="A538" i="1"/>
  <c r="A307" i="1"/>
  <c r="A308" i="1"/>
  <c r="A309" i="1"/>
  <c r="Z499" i="1" l="1"/>
  <c r="Y499" i="1"/>
  <c r="X499" i="1"/>
  <c r="F499" i="1"/>
  <c r="G499" i="1"/>
  <c r="E499" i="1"/>
  <c r="P548" i="1" l="1"/>
  <c r="V548" i="1" s="1"/>
  <c r="AA548" i="1" s="1"/>
  <c r="R551" i="1" l="1"/>
  <c r="R555" i="1"/>
  <c r="R550" i="1"/>
  <c r="R549" i="1"/>
  <c r="P550" i="1"/>
  <c r="P549" i="1"/>
  <c r="P571" i="1"/>
  <c r="P570" i="1"/>
  <c r="P561" i="1"/>
  <c r="P557" i="1"/>
  <c r="P540" i="1"/>
  <c r="P539" i="1"/>
  <c r="V555" i="1" l="1"/>
  <c r="AA555" i="1" s="1"/>
  <c r="V549" i="1"/>
  <c r="AA549" i="1" s="1"/>
  <c r="V550" i="1"/>
  <c r="AA550" i="1" s="1"/>
  <c r="V551" i="1"/>
  <c r="AA551" i="1" s="1"/>
  <c r="V561" i="1" l="1"/>
  <c r="AA561" i="1" s="1"/>
  <c r="V540" i="1" l="1"/>
  <c r="AA540" i="1" s="1"/>
  <c r="V539" i="1"/>
  <c r="AA539" i="1" s="1"/>
  <c r="V571" i="1"/>
  <c r="AA571" i="1" s="1"/>
  <c r="V570" i="1"/>
  <c r="AA570" i="1" s="1"/>
  <c r="J429" i="1" l="1"/>
  <c r="V429" i="1" s="1"/>
  <c r="AA429" i="1" s="1"/>
  <c r="P775" i="1" l="1"/>
  <c r="V775" i="1" s="1"/>
  <c r="AA775" i="1" s="1"/>
  <c r="T746" i="1" l="1"/>
  <c r="P714" i="1" l="1"/>
  <c r="P752" i="1"/>
  <c r="P726" i="1"/>
  <c r="P582" i="1"/>
  <c r="P576" i="1"/>
  <c r="P558" i="1"/>
  <c r="P545" i="1"/>
  <c r="P581" i="1"/>
  <c r="P587" i="1"/>
  <c r="P583" i="1"/>
  <c r="J588" i="1"/>
  <c r="P589" i="1"/>
  <c r="P660" i="1"/>
  <c r="K589" i="1"/>
  <c r="V752" i="1" l="1"/>
  <c r="AA752" i="1" s="1"/>
  <c r="P541" i="1" l="1"/>
  <c r="P544" i="1"/>
  <c r="V726" i="1"/>
  <c r="AA726" i="1" s="1"/>
  <c r="V714" i="1"/>
  <c r="AA714" i="1" s="1"/>
  <c r="V589" i="1"/>
  <c r="AA589" i="1" s="1"/>
  <c r="V588" i="1"/>
  <c r="AA588" i="1" s="1"/>
  <c r="V587" i="1"/>
  <c r="AA587" i="1" s="1"/>
  <c r="V583" i="1"/>
  <c r="AA583" i="1" s="1"/>
  <c r="V582" i="1"/>
  <c r="AA582" i="1" s="1"/>
  <c r="V581" i="1"/>
  <c r="AA581" i="1" s="1"/>
  <c r="V576" i="1"/>
  <c r="AA576" i="1" s="1"/>
  <c r="V545" i="1"/>
  <c r="AA545" i="1" s="1"/>
  <c r="F577" i="1"/>
  <c r="G577" i="1"/>
  <c r="E577" i="1"/>
  <c r="V746" i="1" l="1"/>
  <c r="AA746" i="1" s="1"/>
  <c r="R762" i="1" l="1"/>
  <c r="P683" i="1"/>
  <c r="P677" i="1"/>
  <c r="M600" i="1"/>
  <c r="M595" i="1"/>
  <c r="M598" i="1"/>
  <c r="P684" i="1"/>
  <c r="P680" i="1"/>
  <c r="P679" i="1"/>
  <c r="P678" i="1"/>
  <c r="P676" i="1"/>
  <c r="R764" i="1"/>
  <c r="R763" i="1"/>
  <c r="P747" i="1"/>
  <c r="P442" i="1" l="1"/>
  <c r="R682" i="1"/>
  <c r="R681" i="1"/>
  <c r="R635" i="1"/>
  <c r="V684" i="1" l="1"/>
  <c r="AA684" i="1" s="1"/>
  <c r="V764" i="1" l="1"/>
  <c r="AA764" i="1" s="1"/>
  <c r="V763" i="1"/>
  <c r="AA763" i="1" s="1"/>
  <c r="V762" i="1"/>
  <c r="V747" i="1"/>
  <c r="AA747" i="1" s="1"/>
  <c r="V683" i="1"/>
  <c r="AA683" i="1" s="1"/>
  <c r="V682" i="1"/>
  <c r="AA682" i="1" s="1"/>
  <c r="V681" i="1"/>
  <c r="AA681" i="1" s="1"/>
  <c r="V680" i="1"/>
  <c r="AA680" i="1" s="1"/>
  <c r="V679" i="1"/>
  <c r="AA679" i="1" s="1"/>
  <c r="V678" i="1"/>
  <c r="AA678" i="1" s="1"/>
  <c r="V677" i="1"/>
  <c r="AA677" i="1" s="1"/>
  <c r="V676" i="1"/>
  <c r="AA676" i="1" s="1"/>
  <c r="AA762" i="1" l="1"/>
  <c r="R624" i="1"/>
  <c r="V624" i="1" s="1"/>
  <c r="AA624" i="1" s="1"/>
  <c r="P512" i="1" l="1"/>
  <c r="P457" i="1"/>
  <c r="P454" i="1"/>
  <c r="P445" i="1"/>
  <c r="P444" i="1"/>
  <c r="P443" i="1"/>
  <c r="P441" i="1"/>
  <c r="P439" i="1"/>
  <c r="P438" i="1"/>
  <c r="P437" i="1"/>
  <c r="P434" i="1"/>
  <c r="P433" i="1"/>
  <c r="P428" i="1"/>
  <c r="P427" i="1"/>
  <c r="P426" i="1"/>
  <c r="P423" i="1"/>
  <c r="P422" i="1"/>
  <c r="P387" i="1"/>
  <c r="P378" i="1"/>
  <c r="P377" i="1"/>
  <c r="P374" i="1"/>
  <c r="P368" i="1"/>
  <c r="P362" i="1"/>
  <c r="P360" i="1"/>
  <c r="P359" i="1"/>
  <c r="P357" i="1"/>
  <c r="P356" i="1"/>
  <c r="P355" i="1"/>
  <c r="P354" i="1"/>
  <c r="P353" i="1"/>
  <c r="P352" i="1"/>
  <c r="P351" i="1"/>
  <c r="P349" i="1"/>
  <c r="P340" i="1"/>
  <c r="P312" i="1"/>
  <c r="Y776" i="1" l="1"/>
  <c r="X776" i="1"/>
  <c r="E776" i="1"/>
  <c r="A535" i="1"/>
  <c r="A536" i="1"/>
  <c r="M669" i="1" l="1"/>
  <c r="V669" i="1" s="1"/>
  <c r="AA669" i="1" s="1"/>
  <c r="P757" i="1" l="1"/>
  <c r="V757" i="1" s="1"/>
  <c r="AA757" i="1" s="1"/>
  <c r="P756" i="1"/>
  <c r="V756" i="1" s="1"/>
  <c r="AA756" i="1" s="1"/>
  <c r="P736" i="1" l="1"/>
  <c r="V736" i="1" s="1"/>
  <c r="AA736" i="1" s="1"/>
  <c r="P738" i="1"/>
  <c r="V738" i="1" s="1"/>
  <c r="AA738" i="1" s="1"/>
  <c r="P737" i="1"/>
  <c r="V737" i="1" s="1"/>
  <c r="AA737" i="1" s="1"/>
  <c r="P735" i="1"/>
  <c r="V735" i="1" s="1"/>
  <c r="AA735" i="1" s="1"/>
  <c r="A21" i="1" l="1"/>
  <c r="J614" i="1" l="1"/>
  <c r="V614" i="1" s="1"/>
  <c r="AA614" i="1" s="1"/>
  <c r="T657" i="1" l="1"/>
  <c r="T403" i="1" l="1"/>
  <c r="P734" i="1" l="1"/>
  <c r="P768" i="1"/>
  <c r="P596" i="1"/>
  <c r="P601" i="1"/>
  <c r="P602" i="1"/>
  <c r="P565" i="1"/>
  <c r="P564" i="1"/>
  <c r="P563" i="1"/>
  <c r="P562" i="1"/>
  <c r="P560" i="1"/>
  <c r="P559" i="1"/>
  <c r="P556" i="1"/>
  <c r="P597" i="1"/>
  <c r="P732" i="1"/>
  <c r="M599" i="1"/>
  <c r="V600" i="1"/>
  <c r="AA600" i="1" s="1"/>
  <c r="J612" i="1"/>
  <c r="P765" i="1"/>
  <c r="P716" i="1"/>
  <c r="P715" i="1"/>
  <c r="P613" i="1"/>
  <c r="P611" i="1"/>
  <c r="P610" i="1"/>
  <c r="P609" i="1"/>
  <c r="P607" i="1"/>
  <c r="P606" i="1"/>
  <c r="P605" i="1"/>
  <c r="P604" i="1"/>
  <c r="P603" i="1"/>
  <c r="V598" i="1"/>
  <c r="AA598" i="1" s="1"/>
  <c r="J608" i="1"/>
  <c r="P733" i="1"/>
  <c r="V765" i="1" l="1"/>
  <c r="V734" i="1"/>
  <c r="AA734" i="1" s="1"/>
  <c r="V733" i="1"/>
  <c r="AA733" i="1" s="1"/>
  <c r="V732" i="1"/>
  <c r="AA732" i="1" s="1"/>
  <c r="V715" i="1"/>
  <c r="AA715" i="1" s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599" i="1"/>
  <c r="V597" i="1"/>
  <c r="V596" i="1"/>
  <c r="V595" i="1"/>
  <c r="V565" i="1"/>
  <c r="V564" i="1"/>
  <c r="V563" i="1"/>
  <c r="V562" i="1"/>
  <c r="V560" i="1"/>
  <c r="V559" i="1"/>
  <c r="V558" i="1"/>
  <c r="V557" i="1"/>
  <c r="V556" i="1"/>
  <c r="AA765" i="1" l="1"/>
  <c r="P668" i="1" l="1"/>
  <c r="V668" i="1" s="1"/>
  <c r="AA668" i="1" s="1"/>
  <c r="V768" i="1" l="1"/>
  <c r="AA768" i="1" s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599" i="1"/>
  <c r="AA597" i="1"/>
  <c r="AA596" i="1"/>
  <c r="AA595" i="1"/>
  <c r="AA565" i="1"/>
  <c r="AA564" i="1"/>
  <c r="AA563" i="1"/>
  <c r="AA562" i="1"/>
  <c r="AA560" i="1"/>
  <c r="AA559" i="1"/>
  <c r="AA558" i="1"/>
  <c r="AA557" i="1"/>
  <c r="AA556" i="1"/>
  <c r="M594" i="1" l="1"/>
  <c r="K594" i="1"/>
  <c r="V594" i="1" l="1"/>
  <c r="AA594" i="1" s="1"/>
  <c r="K638" i="1" l="1"/>
  <c r="P593" i="1" l="1"/>
  <c r="V593" i="1" s="1"/>
  <c r="AA593" i="1" s="1"/>
  <c r="V541" i="1" l="1"/>
  <c r="AA541" i="1" s="1"/>
  <c r="S690" i="1" l="1"/>
  <c r="S659" i="1"/>
  <c r="S640" i="1"/>
  <c r="S592" i="1"/>
  <c r="V592" i="1" s="1"/>
  <c r="AA592" i="1" s="1"/>
  <c r="S450" i="1"/>
  <c r="S386" i="1"/>
  <c r="S361" i="1"/>
  <c r="S348" i="1"/>
  <c r="Q450" i="1"/>
  <c r="Q386" i="1"/>
  <c r="Q361" i="1"/>
  <c r="N450" i="1"/>
  <c r="N386" i="1"/>
  <c r="N361" i="1"/>
  <c r="N348" i="1"/>
  <c r="M450" i="1"/>
  <c r="M386" i="1"/>
  <c r="M361" i="1"/>
  <c r="M348" i="1"/>
  <c r="K450" i="1"/>
  <c r="K386" i="1"/>
  <c r="K382" i="1"/>
  <c r="K361" i="1"/>
  <c r="J450" i="1"/>
  <c r="J430" i="1"/>
  <c r="J386" i="1"/>
  <c r="J382" i="1"/>
  <c r="J361" i="1"/>
  <c r="J352" i="1"/>
  <c r="S464" i="1"/>
  <c r="S372" i="1"/>
  <c r="P580" i="1" l="1"/>
  <c r="V580" i="1" s="1"/>
  <c r="AA580" i="1" s="1"/>
  <c r="N590" i="1"/>
  <c r="K590" i="1"/>
  <c r="J590" i="1"/>
  <c r="V590" i="1" l="1"/>
  <c r="AA590" i="1" s="1"/>
  <c r="Z493" i="1" l="1"/>
  <c r="Y493" i="1"/>
  <c r="X493" i="1"/>
  <c r="F493" i="1"/>
  <c r="G493" i="1"/>
  <c r="E493" i="1"/>
  <c r="R742" i="1" l="1"/>
  <c r="P705" i="1" l="1"/>
  <c r="V705" i="1" s="1"/>
  <c r="AA705" i="1" s="1"/>
  <c r="P707" i="1"/>
  <c r="V707" i="1" s="1"/>
  <c r="AA707" i="1" s="1"/>
  <c r="P706" i="1"/>
  <c r="V706" i="1" s="1"/>
  <c r="AA706" i="1" s="1"/>
  <c r="R704" i="1"/>
  <c r="P704" i="1"/>
  <c r="V704" i="1" l="1"/>
  <c r="AA704" i="1" s="1"/>
  <c r="S748" i="1"/>
  <c r="R666" i="1" l="1"/>
  <c r="R739" i="1" l="1"/>
  <c r="V739" i="1" s="1"/>
  <c r="AA739" i="1" s="1"/>
  <c r="R730" i="1"/>
  <c r="F740" i="1"/>
  <c r="G740" i="1"/>
  <c r="E740" i="1"/>
  <c r="R481" i="1"/>
  <c r="V730" i="1" l="1"/>
  <c r="AA730" i="1" s="1"/>
  <c r="AA740" i="1" s="1"/>
  <c r="V740" i="1" l="1"/>
  <c r="P619" i="1" l="1"/>
  <c r="V619" i="1" s="1"/>
  <c r="AA619" i="1" s="1"/>
  <c r="P628" i="1"/>
  <c r="V628" i="1" s="1"/>
  <c r="AA628" i="1" s="1"/>
  <c r="J617" i="1"/>
  <c r="V617" i="1" s="1"/>
  <c r="AA617" i="1" s="1"/>
  <c r="P615" i="1"/>
  <c r="V615" i="1" s="1"/>
  <c r="AA615" i="1" s="1"/>
  <c r="P630" i="1"/>
  <c r="V630" i="1" s="1"/>
  <c r="AA630" i="1" s="1"/>
  <c r="P622" i="1" l="1"/>
  <c r="K626" i="1"/>
  <c r="M626" i="1"/>
  <c r="J627" i="1"/>
  <c r="J626" i="1"/>
  <c r="P627" i="1"/>
  <c r="J616" i="1"/>
  <c r="V616" i="1" s="1"/>
  <c r="AA616" i="1" s="1"/>
  <c r="J618" i="1"/>
  <c r="V618" i="1" s="1"/>
  <c r="AA618" i="1" s="1"/>
  <c r="J620" i="1"/>
  <c r="V620" i="1" s="1"/>
  <c r="AA620" i="1" s="1"/>
  <c r="P625" i="1"/>
  <c r="V625" i="1" s="1"/>
  <c r="AA625" i="1" s="1"/>
  <c r="P591" i="1"/>
  <c r="V591" i="1" s="1"/>
  <c r="AA591" i="1" s="1"/>
  <c r="K621" i="1"/>
  <c r="V621" i="1" s="1"/>
  <c r="AA621" i="1" s="1"/>
  <c r="K623" i="1"/>
  <c r="V623" i="1" s="1"/>
  <c r="AA623" i="1" s="1"/>
  <c r="P629" i="1"/>
  <c r="P753" i="1"/>
  <c r="V753" i="1" s="1"/>
  <c r="AA753" i="1" s="1"/>
  <c r="P575" i="1"/>
  <c r="V575" i="1" s="1"/>
  <c r="P572" i="1"/>
  <c r="V572" i="1" s="1"/>
  <c r="AA572" i="1" s="1"/>
  <c r="P566" i="1"/>
  <c r="V566" i="1" s="1"/>
  <c r="AA566" i="1" s="1"/>
  <c r="P536" i="1"/>
  <c r="J748" i="1"/>
  <c r="V748" i="1" s="1"/>
  <c r="AA748" i="1" s="1"/>
  <c r="K456" i="1"/>
  <c r="AA575" i="1" l="1"/>
  <c r="AA577" i="1" s="1"/>
  <c r="V577" i="1"/>
  <c r="V622" i="1"/>
  <c r="AA622" i="1" s="1"/>
  <c r="V627" i="1"/>
  <c r="AA627" i="1" s="1"/>
  <c r="V629" i="1"/>
  <c r="AA629" i="1" s="1"/>
  <c r="V536" i="1"/>
  <c r="AA536" i="1" s="1"/>
  <c r="V544" i="1"/>
  <c r="AA544" i="1" s="1"/>
  <c r="V626" i="1"/>
  <c r="AA626" i="1" s="1"/>
  <c r="AA537" i="1" l="1"/>
  <c r="V537" i="1"/>
  <c r="G537" i="1" l="1"/>
  <c r="F537" i="1"/>
  <c r="E537" i="1"/>
  <c r="S243" i="1" l="1"/>
  <c r="T116" i="1" l="1"/>
  <c r="V116" i="1" s="1"/>
  <c r="AA116" i="1" s="1"/>
  <c r="P742" i="1" l="1"/>
  <c r="K637" i="1"/>
  <c r="V742" i="1" l="1"/>
  <c r="AA742" i="1" s="1"/>
  <c r="U637" i="1"/>
  <c r="V637" i="1" s="1"/>
  <c r="AA637" i="1" s="1"/>
  <c r="P727" i="1"/>
  <c r="V727" i="1" s="1"/>
  <c r="AA727" i="1" s="1"/>
  <c r="K647" i="1" l="1"/>
  <c r="S749" i="1"/>
  <c r="V647" i="1" l="1"/>
  <c r="AA647" i="1" s="1"/>
  <c r="V749" i="1"/>
  <c r="AA749" i="1" s="1"/>
  <c r="R641" i="1"/>
  <c r="R646" i="1" l="1"/>
  <c r="V646" i="1" s="1"/>
  <c r="AA646" i="1" s="1"/>
  <c r="G769" i="1" l="1"/>
  <c r="F769" i="1"/>
  <c r="E769" i="1"/>
  <c r="Z776" i="1" l="1"/>
  <c r="Z772" i="1"/>
  <c r="Y772" i="1"/>
  <c r="X772" i="1"/>
  <c r="Z760" i="1"/>
  <c r="Y760" i="1"/>
  <c r="X760" i="1"/>
  <c r="Z754" i="1"/>
  <c r="Y754" i="1"/>
  <c r="X754" i="1"/>
  <c r="Z750" i="1"/>
  <c r="Y750" i="1"/>
  <c r="X750" i="1"/>
  <c r="Z744" i="1"/>
  <c r="Y744" i="1"/>
  <c r="X744" i="1"/>
  <c r="Z728" i="1"/>
  <c r="Y728" i="1"/>
  <c r="X728" i="1"/>
  <c r="Z724" i="1"/>
  <c r="Y724" i="1"/>
  <c r="X724" i="1"/>
  <c r="Z717" i="1"/>
  <c r="Y717" i="1"/>
  <c r="X717" i="1"/>
  <c r="Z712" i="1"/>
  <c r="Y712" i="1"/>
  <c r="X712" i="1"/>
  <c r="Z573" i="1"/>
  <c r="Y573" i="1"/>
  <c r="X573" i="1"/>
  <c r="Z568" i="1"/>
  <c r="Y568" i="1"/>
  <c r="X568" i="1"/>
  <c r="Z552" i="1"/>
  <c r="Y552" i="1"/>
  <c r="X552" i="1"/>
  <c r="Z546" i="1"/>
  <c r="Y546" i="1"/>
  <c r="X546" i="1"/>
  <c r="Z542" i="1"/>
  <c r="Y542" i="1"/>
  <c r="X542" i="1"/>
  <c r="Z532" i="1"/>
  <c r="Y532" i="1"/>
  <c r="X532" i="1"/>
  <c r="Z524" i="1"/>
  <c r="Y524" i="1"/>
  <c r="X524" i="1"/>
  <c r="Z521" i="1"/>
  <c r="Y521" i="1"/>
  <c r="X521" i="1"/>
  <c r="Z513" i="1"/>
  <c r="Y513" i="1"/>
  <c r="X513" i="1"/>
  <c r="Z509" i="1"/>
  <c r="Y509" i="1"/>
  <c r="X509" i="1"/>
  <c r="Z505" i="1"/>
  <c r="Y505" i="1"/>
  <c r="X505" i="1"/>
  <c r="Z502" i="1"/>
  <c r="Y502" i="1"/>
  <c r="X502" i="1"/>
  <c r="Z496" i="1"/>
  <c r="Y496" i="1"/>
  <c r="X496" i="1"/>
  <c r="Z490" i="1"/>
  <c r="Y490" i="1"/>
  <c r="X490" i="1"/>
  <c r="Z487" i="1"/>
  <c r="Y487" i="1"/>
  <c r="X487" i="1"/>
  <c r="Z484" i="1"/>
  <c r="Y484" i="1"/>
  <c r="X484" i="1"/>
  <c r="Y479" i="1"/>
  <c r="X479" i="1"/>
  <c r="Z462" i="1"/>
  <c r="Y462" i="1"/>
  <c r="X462" i="1"/>
  <c r="Z458" i="1"/>
  <c r="Y458" i="1"/>
  <c r="X458" i="1"/>
  <c r="Z346" i="1"/>
  <c r="Y346" i="1"/>
  <c r="X346" i="1"/>
  <c r="X341" i="1"/>
  <c r="Y341" i="1"/>
  <c r="Z310" i="1"/>
  <c r="Y310" i="1"/>
  <c r="X310" i="1"/>
  <c r="Z307" i="1"/>
  <c r="Y307" i="1"/>
  <c r="X307" i="1"/>
  <c r="Y302" i="1"/>
  <c r="X302" i="1"/>
  <c r="Z289" i="1"/>
  <c r="Y289" i="1"/>
  <c r="X289" i="1"/>
  <c r="Z285" i="1"/>
  <c r="Y285" i="1"/>
  <c r="X285" i="1"/>
  <c r="Z275" i="1"/>
  <c r="Y275" i="1"/>
  <c r="X275" i="1"/>
  <c r="Z272" i="1"/>
  <c r="Y272" i="1"/>
  <c r="X272" i="1"/>
  <c r="Z268" i="1"/>
  <c r="Y268" i="1"/>
  <c r="X268" i="1"/>
  <c r="Z265" i="1"/>
  <c r="Y265" i="1"/>
  <c r="X265" i="1"/>
  <c r="Z262" i="1"/>
  <c r="Y262" i="1"/>
  <c r="X262" i="1"/>
  <c r="Z259" i="1"/>
  <c r="Y259" i="1"/>
  <c r="X259" i="1"/>
  <c r="X253" i="1"/>
  <c r="Y253" i="1"/>
  <c r="Z253" i="1"/>
  <c r="X71" i="1"/>
  <c r="Y71" i="1"/>
  <c r="Z71" i="1"/>
  <c r="X60" i="1"/>
  <c r="Y60" i="1"/>
  <c r="Z60" i="1"/>
  <c r="X56" i="1"/>
  <c r="Y56" i="1"/>
  <c r="Z56" i="1"/>
  <c r="Z25" i="1"/>
  <c r="Z22" i="1"/>
  <c r="X25" i="1"/>
  <c r="Y25" i="1"/>
  <c r="X22" i="1"/>
  <c r="Y22" i="1"/>
  <c r="X777" i="1" l="1"/>
  <c r="Y777" i="1"/>
  <c r="Z777" i="1"/>
  <c r="X533" i="1"/>
  <c r="Y533" i="1"/>
  <c r="Y303" i="1"/>
  <c r="X303" i="1"/>
  <c r="Y778" i="1" l="1"/>
  <c r="X778" i="1"/>
  <c r="F490" i="1"/>
  <c r="G490" i="1"/>
  <c r="E490" i="1"/>
  <c r="T34" i="1" l="1"/>
  <c r="T189" i="1" l="1"/>
  <c r="T27" i="1" l="1"/>
  <c r="O653" i="1" l="1"/>
  <c r="V653" i="1" s="1"/>
  <c r="AA653" i="1" s="1"/>
  <c r="V638" i="1"/>
  <c r="AA638" i="1" s="1"/>
  <c r="P652" i="1"/>
  <c r="V652" i="1" s="1"/>
  <c r="AA652" i="1" s="1"/>
  <c r="P650" i="1"/>
  <c r="V650" i="1" s="1"/>
  <c r="AA650" i="1" s="1"/>
  <c r="R711" i="1"/>
  <c r="R709" i="1"/>
  <c r="R702" i="1"/>
  <c r="R697" i="1"/>
  <c r="R692" i="1"/>
  <c r="R691" i="1"/>
  <c r="R690" i="1"/>
  <c r="R665" i="1"/>
  <c r="R664" i="1"/>
  <c r="R649" i="1"/>
  <c r="R644" i="1"/>
  <c r="V644" i="1" s="1"/>
  <c r="AA644" i="1" s="1"/>
  <c r="R640" i="1"/>
  <c r="R639" i="1"/>
  <c r="V639" i="1" s="1"/>
  <c r="AA639" i="1" s="1"/>
  <c r="Q690" i="1"/>
  <c r="Q659" i="1"/>
  <c r="Q640" i="1"/>
  <c r="P774" i="1"/>
  <c r="P723" i="1"/>
  <c r="P722" i="1"/>
  <c r="P721" i="1"/>
  <c r="P720" i="1"/>
  <c r="P719" i="1"/>
  <c r="P711" i="1"/>
  <c r="P710" i="1"/>
  <c r="P709" i="1"/>
  <c r="P708" i="1"/>
  <c r="P703" i="1"/>
  <c r="P701" i="1"/>
  <c r="P700" i="1"/>
  <c r="P699" i="1"/>
  <c r="P698" i="1"/>
  <c r="V698" i="1" s="1"/>
  <c r="AA698" i="1" s="1"/>
  <c r="P696" i="1"/>
  <c r="V696" i="1" s="1"/>
  <c r="AA696" i="1" s="1"/>
  <c r="P695" i="1"/>
  <c r="P694" i="1"/>
  <c r="P693" i="1"/>
  <c r="P692" i="1"/>
  <c r="P691" i="1"/>
  <c r="P690" i="1"/>
  <c r="P689" i="1"/>
  <c r="P688" i="1"/>
  <c r="P687" i="1"/>
  <c r="P686" i="1"/>
  <c r="P674" i="1"/>
  <c r="P673" i="1"/>
  <c r="P672" i="1"/>
  <c r="P665" i="1"/>
  <c r="P663" i="1"/>
  <c r="P662" i="1"/>
  <c r="P661" i="1"/>
  <c r="P659" i="1"/>
  <c r="P658" i="1"/>
  <c r="P656" i="1"/>
  <c r="P649" i="1"/>
  <c r="P645" i="1"/>
  <c r="P643" i="1"/>
  <c r="V643" i="1" s="1"/>
  <c r="AA643" i="1" s="1"/>
  <c r="P642" i="1"/>
  <c r="V642" i="1" s="1"/>
  <c r="AA642" i="1" s="1"/>
  <c r="P641" i="1"/>
  <c r="V641" i="1" s="1"/>
  <c r="AA641" i="1" s="1"/>
  <c r="P635" i="1"/>
  <c r="V635" i="1" s="1"/>
  <c r="AA635" i="1" s="1"/>
  <c r="P634" i="1"/>
  <c r="V634" i="1" s="1"/>
  <c r="AA634" i="1" s="1"/>
  <c r="P633" i="1"/>
  <c r="P632" i="1"/>
  <c r="P631" i="1"/>
  <c r="V631" i="1" s="1"/>
  <c r="AA631" i="1" s="1"/>
  <c r="P579" i="1"/>
  <c r="N659" i="1"/>
  <c r="N648" i="1"/>
  <c r="N640" i="1"/>
  <c r="N636" i="1"/>
  <c r="M659" i="1"/>
  <c r="M648" i="1"/>
  <c r="M640" i="1"/>
  <c r="M636" i="1"/>
  <c r="L657" i="1"/>
  <c r="K688" i="1"/>
  <c r="K663" i="1"/>
  <c r="K659" i="1"/>
  <c r="K648" i="1"/>
  <c r="K645" i="1"/>
  <c r="K640" i="1"/>
  <c r="K636" i="1"/>
  <c r="J694" i="1"/>
  <c r="J691" i="1"/>
  <c r="J690" i="1"/>
  <c r="J688" i="1"/>
  <c r="J675" i="1"/>
  <c r="J672" i="1"/>
  <c r="J671" i="1"/>
  <c r="J670" i="1"/>
  <c r="J667" i="1"/>
  <c r="J663" i="1"/>
  <c r="J659" i="1"/>
  <c r="J645" i="1"/>
  <c r="J640" i="1"/>
  <c r="J636" i="1"/>
  <c r="J632" i="1"/>
  <c r="R567" i="1"/>
  <c r="R554" i="1"/>
  <c r="P771" i="1"/>
  <c r="P759" i="1"/>
  <c r="V759" i="1" s="1"/>
  <c r="AA759" i="1" s="1"/>
  <c r="P758" i="1"/>
  <c r="P743" i="1"/>
  <c r="P651" i="1"/>
  <c r="P567" i="1"/>
  <c r="P554" i="1"/>
  <c r="AA766" i="1" l="1"/>
  <c r="V766" i="1"/>
  <c r="V758" i="1"/>
  <c r="AA758" i="1" s="1"/>
  <c r="V697" i="1"/>
  <c r="AA697" i="1" s="1"/>
  <c r="V579" i="1"/>
  <c r="AA579" i="1" s="1"/>
  <c r="V689" i="1"/>
  <c r="AA689" i="1" s="1"/>
  <c r="V656" i="1"/>
  <c r="AA656" i="1" s="1"/>
  <c r="V664" i="1"/>
  <c r="AA664" i="1" s="1"/>
  <c r="V567" i="1"/>
  <c r="AA567" i="1" s="1"/>
  <c r="V699" i="1"/>
  <c r="AA699" i="1" s="1"/>
  <c r="V632" i="1"/>
  <c r="AA632" i="1" s="1"/>
  <c r="V658" i="1"/>
  <c r="AA658" i="1" s="1"/>
  <c r="V665" i="1"/>
  <c r="AA665" i="1" s="1"/>
  <c r="V670" i="1"/>
  <c r="AA670" i="1" s="1"/>
  <c r="V703" i="1"/>
  <c r="AA703" i="1" s="1"/>
  <c r="V719" i="1"/>
  <c r="AA719" i="1" s="1"/>
  <c r="V722" i="1"/>
  <c r="AA722" i="1" s="1"/>
  <c r="V671" i="1"/>
  <c r="AA671" i="1" s="1"/>
  <c r="V690" i="1"/>
  <c r="AA690" i="1" s="1"/>
  <c r="V708" i="1"/>
  <c r="AA708" i="1" s="1"/>
  <c r="V723" i="1"/>
  <c r="AA723" i="1" s="1"/>
  <c r="V651" i="1"/>
  <c r="AA651" i="1" s="1"/>
  <c r="V771" i="1"/>
  <c r="AA771" i="1" s="1"/>
  <c r="V636" i="1"/>
  <c r="AA636" i="1" s="1"/>
  <c r="V691" i="1"/>
  <c r="AA691" i="1" s="1"/>
  <c r="V649" i="1"/>
  <c r="AA649" i="1" s="1"/>
  <c r="V692" i="1"/>
  <c r="AA692" i="1" s="1"/>
  <c r="V695" i="1"/>
  <c r="AA695" i="1" s="1"/>
  <c r="V702" i="1"/>
  <c r="AA702" i="1" s="1"/>
  <c r="V710" i="1"/>
  <c r="AA710" i="1" s="1"/>
  <c r="V716" i="1"/>
  <c r="AA716" i="1" s="1"/>
  <c r="V721" i="1"/>
  <c r="AA721" i="1" s="1"/>
  <c r="V554" i="1"/>
  <c r="AA554" i="1" s="1"/>
  <c r="V640" i="1"/>
  <c r="AA640" i="1" s="1"/>
  <c r="V700" i="1"/>
  <c r="AA700" i="1" s="1"/>
  <c r="V720" i="1"/>
  <c r="AA720" i="1" s="1"/>
  <c r="V633" i="1"/>
  <c r="AA633" i="1" s="1"/>
  <c r="V645" i="1"/>
  <c r="AA645" i="1" s="1"/>
  <c r="V667" i="1"/>
  <c r="AA667" i="1" s="1"/>
  <c r="V675" i="1"/>
  <c r="AA675" i="1" s="1"/>
  <c r="V648" i="1"/>
  <c r="AA648" i="1" s="1"/>
  <c r="V701" i="1"/>
  <c r="AA701" i="1" s="1"/>
  <c r="V709" i="1"/>
  <c r="AA709" i="1" s="1"/>
  <c r="V711" i="1"/>
  <c r="AA711" i="1" s="1"/>
  <c r="R446" i="1"/>
  <c r="G766" i="1" l="1"/>
  <c r="F766" i="1"/>
  <c r="E766" i="1"/>
  <c r="V481" i="1" l="1"/>
  <c r="AA481" i="1" s="1"/>
  <c r="P498" i="1" l="1"/>
  <c r="V498" i="1" l="1"/>
  <c r="AA498" i="1" l="1"/>
  <c r="AA499" i="1" s="1"/>
  <c r="V499" i="1"/>
  <c r="F307" i="1" l="1"/>
  <c r="G307" i="1"/>
  <c r="E307" i="1"/>
  <c r="R379" i="1" l="1"/>
  <c r="V379" i="1" s="1"/>
  <c r="AA379" i="1" s="1"/>
  <c r="V387" i="1" l="1"/>
  <c r="AA387" i="1" s="1"/>
  <c r="P482" i="1" l="1"/>
  <c r="F253" i="1" l="1"/>
  <c r="F458" i="1"/>
  <c r="G458" i="1"/>
  <c r="G78" i="1" l="1"/>
  <c r="G253" i="1" s="1"/>
  <c r="N453" i="1" l="1"/>
  <c r="R504" i="1" l="1"/>
  <c r="V504" i="1" l="1"/>
  <c r="AA504" i="1" s="1"/>
  <c r="F776" i="1" l="1"/>
  <c r="G776" i="1"/>
  <c r="V74" i="1" l="1"/>
  <c r="AA74" i="1" s="1"/>
  <c r="J453" i="1" l="1"/>
  <c r="V482" i="1" l="1"/>
  <c r="AA482" i="1" s="1"/>
  <c r="N245" i="1" l="1"/>
  <c r="M245" i="1"/>
  <c r="K245" i="1"/>
  <c r="F509" i="1" l="1"/>
  <c r="G509" i="1"/>
  <c r="V512" i="1"/>
  <c r="AA512" i="1" s="1"/>
  <c r="F513" i="1"/>
  <c r="G513" i="1"/>
  <c r="E513" i="1"/>
  <c r="V101" i="1" l="1"/>
  <c r="V98" i="1"/>
  <c r="V27" i="1"/>
  <c r="V349" i="1" l="1"/>
  <c r="AA349" i="1" s="1"/>
  <c r="V350" i="1"/>
  <c r="AA350" i="1" s="1"/>
  <c r="P489" i="1" l="1"/>
  <c r="S364" i="1" l="1"/>
  <c r="P363" i="1"/>
  <c r="K364" i="1"/>
  <c r="R362" i="1"/>
  <c r="R361" i="1"/>
  <c r="R360" i="1"/>
  <c r="N423" i="1"/>
  <c r="M423" i="1"/>
  <c r="J371" i="1"/>
  <c r="V360" i="1" l="1"/>
  <c r="AA360" i="1" s="1"/>
  <c r="V361" i="1"/>
  <c r="AA361" i="1" s="1"/>
  <c r="V362" i="1"/>
  <c r="AA362" i="1" s="1"/>
  <c r="V363" i="1"/>
  <c r="AA363" i="1" s="1"/>
  <c r="V364" i="1"/>
  <c r="AA364" i="1" s="1"/>
  <c r="V454" i="1" l="1"/>
  <c r="AA454" i="1" s="1"/>
  <c r="R348" i="1"/>
  <c r="Q348" i="1"/>
  <c r="K348" i="1"/>
  <c r="V348" i="1" l="1"/>
  <c r="AA348" i="1" s="1"/>
  <c r="P192" i="1" l="1"/>
  <c r="K192" i="1"/>
  <c r="J192" i="1"/>
  <c r="R428" i="1" l="1"/>
  <c r="V428" i="1" l="1"/>
  <c r="AA428" i="1" s="1"/>
  <c r="V430" i="1"/>
  <c r="AA430" i="1" s="1"/>
  <c r="A19" i="1" l="1"/>
  <c r="A20" i="1"/>
  <c r="A302" i="1"/>
  <c r="A306" i="1"/>
  <c r="R394" i="1" l="1"/>
  <c r="V394" i="1" l="1"/>
  <c r="AA394" i="1" s="1"/>
  <c r="P140" i="1"/>
  <c r="R140" i="1"/>
  <c r="V140" i="1" l="1"/>
  <c r="V464" i="1" l="1"/>
  <c r="AA464" i="1" s="1"/>
  <c r="P483" i="1" l="1"/>
  <c r="V483" i="1" s="1"/>
  <c r="J351" i="1" l="1"/>
  <c r="V351" i="1" l="1"/>
  <c r="AA351" i="1" s="1"/>
  <c r="O475" i="1"/>
  <c r="T418" i="1"/>
  <c r="T398" i="1"/>
  <c r="T318" i="1"/>
  <c r="O418" i="1"/>
  <c r="O398" i="1"/>
  <c r="O318" i="1"/>
  <c r="P418" i="1"/>
  <c r="R337" i="1"/>
  <c r="V443" i="1"/>
  <c r="P435" i="1"/>
  <c r="P432" i="1"/>
  <c r="P431" i="1"/>
  <c r="P425" i="1"/>
  <c r="P424" i="1"/>
  <c r="P416" i="1"/>
  <c r="P369" i="1"/>
  <c r="V369" i="1" s="1"/>
  <c r="P366" i="1"/>
  <c r="V366" i="1" s="1"/>
  <c r="P338" i="1"/>
  <c r="V338" i="1" s="1"/>
  <c r="P337" i="1"/>
  <c r="O528" i="1"/>
  <c r="O527" i="1"/>
  <c r="O478" i="1"/>
  <c r="O477" i="1"/>
  <c r="O476" i="1"/>
  <c r="O474" i="1"/>
  <c r="O473" i="1"/>
  <c r="O472" i="1"/>
  <c r="O471" i="1"/>
  <c r="O470" i="1"/>
  <c r="O469" i="1"/>
  <c r="O468" i="1"/>
  <c r="O461" i="1"/>
  <c r="O460" i="1"/>
  <c r="O421" i="1"/>
  <c r="O420" i="1"/>
  <c r="O419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7" i="1"/>
  <c r="O396" i="1"/>
  <c r="O395" i="1"/>
  <c r="O393" i="1"/>
  <c r="O392" i="1"/>
  <c r="O391" i="1"/>
  <c r="O390" i="1"/>
  <c r="O389" i="1"/>
  <c r="O38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7" i="1"/>
  <c r="O316" i="1"/>
  <c r="O315" i="1"/>
  <c r="O314" i="1"/>
  <c r="M403" i="1"/>
  <c r="M431" i="1"/>
  <c r="M447" i="1"/>
  <c r="K370" i="1"/>
  <c r="K390" i="1"/>
  <c r="K403" i="1"/>
  <c r="K431" i="1"/>
  <c r="K435" i="1"/>
  <c r="K448" i="1"/>
  <c r="K447" i="1"/>
  <c r="R455" i="1"/>
  <c r="V455" i="1" s="1"/>
  <c r="R449" i="1"/>
  <c r="V449" i="1" s="1"/>
  <c r="R444" i="1"/>
  <c r="R434" i="1"/>
  <c r="R433" i="1"/>
  <c r="R380" i="1"/>
  <c r="V380" i="1" s="1"/>
  <c r="R372" i="1"/>
  <c r="V372" i="1" s="1"/>
  <c r="R358" i="1"/>
  <c r="R339" i="1"/>
  <c r="Q385" i="1"/>
  <c r="Q384" i="1"/>
  <c r="V384" i="1" s="1"/>
  <c r="V457" i="1"/>
  <c r="V441" i="1"/>
  <c r="V439" i="1"/>
  <c r="V438" i="1"/>
  <c r="V437" i="1"/>
  <c r="V426" i="1"/>
  <c r="V422" i="1"/>
  <c r="V378" i="1"/>
  <c r="V377" i="1"/>
  <c r="V374" i="1"/>
  <c r="V368" i="1"/>
  <c r="V359" i="1"/>
  <c r="P358" i="1"/>
  <c r="V357" i="1"/>
  <c r="V356" i="1"/>
  <c r="V355" i="1"/>
  <c r="V354" i="1"/>
  <c r="V353" i="1"/>
  <c r="V340" i="1"/>
  <c r="P309" i="1"/>
  <c r="N467" i="1"/>
  <c r="N466" i="1"/>
  <c r="N465" i="1"/>
  <c r="N452" i="1"/>
  <c r="N383" i="1"/>
  <c r="N381" i="1"/>
  <c r="N371" i="1"/>
  <c r="N339" i="1"/>
  <c r="N313" i="1"/>
  <c r="M467" i="1"/>
  <c r="M466" i="1"/>
  <c r="M465" i="1"/>
  <c r="M456" i="1"/>
  <c r="M452" i="1"/>
  <c r="M383" i="1"/>
  <c r="M381" i="1"/>
  <c r="M371" i="1"/>
  <c r="M313" i="1"/>
  <c r="K467" i="1"/>
  <c r="K466" i="1"/>
  <c r="K465" i="1"/>
  <c r="K452" i="1"/>
  <c r="K451" i="1"/>
  <c r="K440" i="1"/>
  <c r="V440" i="1" s="1"/>
  <c r="K423" i="1"/>
  <c r="V423" i="1" s="1"/>
  <c r="K383" i="1"/>
  <c r="K381" i="1"/>
  <c r="K371" i="1"/>
  <c r="K313" i="1"/>
  <c r="J466" i="1"/>
  <c r="J465" i="1"/>
  <c r="J456" i="1"/>
  <c r="J452" i="1"/>
  <c r="J451" i="1"/>
  <c r="J444" i="1"/>
  <c r="J385" i="1"/>
  <c r="J381" i="1"/>
  <c r="S531" i="1"/>
  <c r="S529" i="1"/>
  <c r="R531" i="1"/>
  <c r="R530" i="1"/>
  <c r="R529" i="1"/>
  <c r="R523" i="1"/>
  <c r="R515" i="1"/>
  <c r="R508" i="1"/>
  <c r="V508" i="1" s="1"/>
  <c r="R436" i="1"/>
  <c r="P531" i="1"/>
  <c r="P529" i="1"/>
  <c r="P523" i="1"/>
  <c r="P520" i="1"/>
  <c r="P519" i="1"/>
  <c r="P518" i="1"/>
  <c r="P517" i="1"/>
  <c r="P516" i="1"/>
  <c r="P515" i="1"/>
  <c r="P507" i="1"/>
  <c r="V507" i="1" s="1"/>
  <c r="P501" i="1"/>
  <c r="V501" i="1" s="1"/>
  <c r="P495" i="1"/>
  <c r="V495" i="1" s="1"/>
  <c r="P492" i="1"/>
  <c r="P486" i="1"/>
  <c r="P436" i="1"/>
  <c r="P367" i="1"/>
  <c r="P345" i="1"/>
  <c r="P344" i="1"/>
  <c r="P343" i="1"/>
  <c r="P306" i="1"/>
  <c r="V306" i="1" s="1"/>
  <c r="V307" i="1" s="1"/>
  <c r="N511" i="1"/>
  <c r="N492" i="1"/>
  <c r="M511" i="1"/>
  <c r="K511" i="1"/>
  <c r="J531" i="1"/>
  <c r="J529" i="1"/>
  <c r="J511" i="1"/>
  <c r="R526" i="1"/>
  <c r="V526" i="1" s="1"/>
  <c r="AA307" i="1" l="1"/>
  <c r="V509" i="1"/>
  <c r="AA509" i="1" s="1"/>
  <c r="V515" i="1"/>
  <c r="V516" i="1"/>
  <c r="V520" i="1"/>
  <c r="V523" i="1"/>
  <c r="V486" i="1"/>
  <c r="V367" i="1"/>
  <c r="V517" i="1"/>
  <c r="V456" i="1"/>
  <c r="V433" i="1"/>
  <c r="V318" i="1"/>
  <c r="V398" i="1"/>
  <c r="V447" i="1"/>
  <c r="V436" i="1"/>
  <c r="V385" i="1"/>
  <c r="V465" i="1"/>
  <c r="V313" i="1"/>
  <c r="V467" i="1"/>
  <c r="V435" i="1"/>
  <c r="V446" i="1"/>
  <c r="V418" i="1"/>
  <c r="V466" i="1"/>
  <c r="V425" i="1"/>
  <c r="V442" i="1"/>
  <c r="V445" i="1"/>
  <c r="V529" i="1"/>
  <c r="V492" i="1"/>
  <c r="V493" i="1" s="1"/>
  <c r="V352" i="1"/>
  <c r="V312" i="1"/>
  <c r="V343" i="1"/>
  <c r="V358" i="1"/>
  <c r="V444" i="1"/>
  <c r="V339" i="1"/>
  <c r="V427" i="1"/>
  <c r="V434" i="1"/>
  <c r="V431" i="1"/>
  <c r="V448" i="1"/>
  <c r="V511" i="1"/>
  <c r="V513" i="1" s="1"/>
  <c r="AA513" i="1" s="1"/>
  <c r="V309" i="1"/>
  <c r="V386" i="1"/>
  <c r="V432" i="1"/>
  <c r="P365" i="1" l="1"/>
  <c r="V365" i="1" s="1"/>
  <c r="AA356" i="1" l="1"/>
  <c r="AA355" i="1"/>
  <c r="AA354" i="1"/>
  <c r="AA353" i="1"/>
  <c r="AA352" i="1"/>
  <c r="AA483" i="1"/>
  <c r="G310" i="1" l="1"/>
  <c r="F310" i="1"/>
  <c r="E310" i="1"/>
  <c r="V505" i="1"/>
  <c r="AA505" i="1" s="1"/>
  <c r="G505" i="1"/>
  <c r="F505" i="1"/>
  <c r="E505" i="1"/>
  <c r="AA439" i="1" l="1"/>
  <c r="AA438" i="1"/>
  <c r="AA437" i="1"/>
  <c r="E685" i="1" l="1"/>
  <c r="P685" i="1" l="1"/>
  <c r="R685" i="1"/>
  <c r="V685" i="1" l="1"/>
  <c r="AA685" i="1" s="1"/>
  <c r="V370" i="1"/>
  <c r="V519" i="1"/>
  <c r="V518" i="1"/>
  <c r="E79" i="1" l="1"/>
  <c r="E78" i="1"/>
  <c r="T528" i="1" l="1"/>
  <c r="V528" i="1" s="1"/>
  <c r="T527" i="1"/>
  <c r="V527" i="1" s="1"/>
  <c r="T478" i="1"/>
  <c r="V478" i="1" s="1"/>
  <c r="T477" i="1"/>
  <c r="V477" i="1" s="1"/>
  <c r="T476" i="1"/>
  <c r="V476" i="1" s="1"/>
  <c r="T474" i="1"/>
  <c r="V474" i="1" s="1"/>
  <c r="T473" i="1"/>
  <c r="V473" i="1" s="1"/>
  <c r="T472" i="1"/>
  <c r="V472" i="1" s="1"/>
  <c r="T471" i="1"/>
  <c r="V471" i="1" s="1"/>
  <c r="T470" i="1"/>
  <c r="V470" i="1" s="1"/>
  <c r="T469" i="1"/>
  <c r="V469" i="1" s="1"/>
  <c r="T468" i="1"/>
  <c r="V468" i="1" s="1"/>
  <c r="T461" i="1"/>
  <c r="V461" i="1" s="1"/>
  <c r="T460" i="1"/>
  <c r="V460" i="1" s="1"/>
  <c r="V424" i="1"/>
  <c r="T421" i="1"/>
  <c r="V421" i="1" s="1"/>
  <c r="T420" i="1"/>
  <c r="V420" i="1" s="1"/>
  <c r="T419" i="1"/>
  <c r="V419" i="1" s="1"/>
  <c r="T417" i="1"/>
  <c r="V417" i="1" s="1"/>
  <c r="T416" i="1"/>
  <c r="V416" i="1" s="1"/>
  <c r="T415" i="1"/>
  <c r="V415" i="1" s="1"/>
  <c r="T414" i="1"/>
  <c r="V414" i="1" s="1"/>
  <c r="T413" i="1"/>
  <c r="V413" i="1" s="1"/>
  <c r="T412" i="1"/>
  <c r="V412" i="1" s="1"/>
  <c r="T411" i="1"/>
  <c r="V411" i="1" s="1"/>
  <c r="T410" i="1"/>
  <c r="V410" i="1" s="1"/>
  <c r="T409" i="1"/>
  <c r="V409" i="1" s="1"/>
  <c r="T408" i="1"/>
  <c r="V408" i="1" s="1"/>
  <c r="T407" i="1"/>
  <c r="V407" i="1" s="1"/>
  <c r="T406" i="1"/>
  <c r="V406" i="1" s="1"/>
  <c r="T405" i="1"/>
  <c r="V405" i="1" s="1"/>
  <c r="T404" i="1"/>
  <c r="V404" i="1" s="1"/>
  <c r="V403" i="1"/>
  <c r="T402" i="1"/>
  <c r="V402" i="1" s="1"/>
  <c r="T401" i="1"/>
  <c r="V401" i="1" s="1"/>
  <c r="T400" i="1"/>
  <c r="V400" i="1" s="1"/>
  <c r="T399" i="1"/>
  <c r="V399" i="1" s="1"/>
  <c r="T397" i="1"/>
  <c r="V397" i="1" s="1"/>
  <c r="T396" i="1"/>
  <c r="V396" i="1" s="1"/>
  <c r="T395" i="1"/>
  <c r="V395" i="1" s="1"/>
  <c r="T393" i="1"/>
  <c r="V393" i="1" s="1"/>
  <c r="T392" i="1"/>
  <c r="V392" i="1" s="1"/>
  <c r="T391" i="1"/>
  <c r="V391" i="1" s="1"/>
  <c r="T390" i="1"/>
  <c r="V390" i="1" s="1"/>
  <c r="T389" i="1"/>
  <c r="V389" i="1" s="1"/>
  <c r="T388" i="1"/>
  <c r="V388" i="1" s="1"/>
  <c r="T337" i="1"/>
  <c r="V337" i="1" s="1"/>
  <c r="T336" i="1"/>
  <c r="V336" i="1" s="1"/>
  <c r="T335" i="1"/>
  <c r="V335" i="1" s="1"/>
  <c r="T334" i="1"/>
  <c r="V334" i="1" s="1"/>
  <c r="T333" i="1"/>
  <c r="V333" i="1" s="1"/>
  <c r="T332" i="1"/>
  <c r="V332" i="1" s="1"/>
  <c r="T331" i="1"/>
  <c r="V331" i="1" s="1"/>
  <c r="T330" i="1"/>
  <c r="V330" i="1" s="1"/>
  <c r="T329" i="1"/>
  <c r="V329" i="1" s="1"/>
  <c r="T328" i="1"/>
  <c r="V328" i="1" s="1"/>
  <c r="T327" i="1"/>
  <c r="V327" i="1" s="1"/>
  <c r="T326" i="1"/>
  <c r="V326" i="1" s="1"/>
  <c r="T325" i="1"/>
  <c r="V325" i="1" s="1"/>
  <c r="T324" i="1"/>
  <c r="V324" i="1" s="1"/>
  <c r="T323" i="1"/>
  <c r="V323" i="1" s="1"/>
  <c r="T322" i="1"/>
  <c r="V322" i="1" s="1"/>
  <c r="T321" i="1"/>
  <c r="V321" i="1" s="1"/>
  <c r="T320" i="1"/>
  <c r="V320" i="1" s="1"/>
  <c r="T319" i="1"/>
  <c r="V319" i="1" s="1"/>
  <c r="T317" i="1"/>
  <c r="V317" i="1" s="1"/>
  <c r="T316" i="1"/>
  <c r="V316" i="1" s="1"/>
  <c r="T315" i="1"/>
  <c r="V315" i="1" s="1"/>
  <c r="T314" i="1"/>
  <c r="V314" i="1" s="1"/>
  <c r="V383" i="1" l="1"/>
  <c r="V382" i="1"/>
  <c r="U371" i="1"/>
  <c r="V371" i="1" s="1"/>
  <c r="AA358" i="1"/>
  <c r="AA495" i="1"/>
  <c r="E532" i="1"/>
  <c r="F496" i="1"/>
  <c r="G496" i="1"/>
  <c r="E496" i="1"/>
  <c r="AA357" i="1"/>
  <c r="AA312" i="1"/>
  <c r="AA517" i="1" l="1"/>
  <c r="AA518" i="1"/>
  <c r="AA519" i="1"/>
  <c r="AA359" i="1" l="1"/>
  <c r="AA365" i="1"/>
  <c r="AA366" i="1"/>
  <c r="AA367" i="1"/>
  <c r="AA368" i="1"/>
  <c r="AA369" i="1"/>
  <c r="AA370" i="1"/>
  <c r="O185" i="1" l="1"/>
  <c r="T185" i="1"/>
  <c r="AA507" i="1" l="1"/>
  <c r="AA501" i="1"/>
  <c r="AA508" i="1"/>
  <c r="F289" i="1"/>
  <c r="G289" i="1"/>
  <c r="E289" i="1"/>
  <c r="AA526" i="1"/>
  <c r="G524" i="1"/>
  <c r="F524" i="1"/>
  <c r="E524" i="1"/>
  <c r="F521" i="1"/>
  <c r="G521" i="1"/>
  <c r="E521" i="1"/>
  <c r="E509" i="1"/>
  <c r="AA515" i="1" l="1"/>
  <c r="AA511" i="1"/>
  <c r="AA313" i="1"/>
  <c r="AA380" i="1"/>
  <c r="AA340" i="1"/>
  <c r="AA377" i="1"/>
  <c r="AA378" i="1"/>
  <c r="AA422" i="1"/>
  <c r="AA426" i="1"/>
  <c r="AA441" i="1"/>
  <c r="AA423" i="1"/>
  <c r="AA440" i="1"/>
  <c r="AA456" i="1"/>
  <c r="E373" i="1"/>
  <c r="P373" i="1" l="1"/>
  <c r="V373" i="1" s="1"/>
  <c r="AA373" i="1" s="1"/>
  <c r="AA523" i="1"/>
  <c r="V524" i="1"/>
  <c r="AA524" i="1" s="1"/>
  <c r="AA445" i="1"/>
  <c r="AA466" i="1"/>
  <c r="AA372" i="1"/>
  <c r="AA384" i="1"/>
  <c r="AA339" i="1"/>
  <c r="AA434" i="1"/>
  <c r="AA465" i="1"/>
  <c r="AA467" i="1"/>
  <c r="AA442" i="1"/>
  <c r="AA433" i="1"/>
  <c r="AA374" i="1"/>
  <c r="F712" i="1" l="1"/>
  <c r="G712" i="1"/>
  <c r="E712" i="1"/>
  <c r="F532" i="1"/>
  <c r="G532" i="1"/>
  <c r="F302" i="1"/>
  <c r="G302" i="1"/>
  <c r="E302" i="1"/>
  <c r="AA101" i="1"/>
  <c r="AA98" i="1"/>
  <c r="AA27" i="1"/>
  <c r="V381" i="1" l="1"/>
  <c r="AA381" i="1" l="1"/>
  <c r="AA371" i="1"/>
  <c r="AA516" i="1" l="1"/>
  <c r="AA520" i="1"/>
  <c r="AA391" i="1" l="1"/>
  <c r="AA409" i="1"/>
  <c r="AA316" i="1"/>
  <c r="AA325" i="1"/>
  <c r="AA317" i="1"/>
  <c r="AA326" i="1"/>
  <c r="AA323" i="1"/>
  <c r="AA337" i="1"/>
  <c r="AA395" i="1"/>
  <c r="AA324" i="1"/>
  <c r="AA390" i="1"/>
  <c r="AA399" i="1"/>
  <c r="AA528" i="1" l="1"/>
  <c r="AA527" i="1"/>
  <c r="AA476" i="1"/>
  <c r="AA469" i="1"/>
  <c r="AA461" i="1"/>
  <c r="AA460" i="1"/>
  <c r="AA421" i="1"/>
  <c r="AA420" i="1"/>
  <c r="AA419" i="1"/>
  <c r="AA417" i="1"/>
  <c r="AA416" i="1"/>
  <c r="AA415" i="1"/>
  <c r="AA414" i="1"/>
  <c r="AA413" i="1"/>
  <c r="AA412" i="1"/>
  <c r="AA411" i="1"/>
  <c r="AA410" i="1"/>
  <c r="AA408" i="1"/>
  <c r="AA407" i="1"/>
  <c r="AA406" i="1"/>
  <c r="AA405" i="1"/>
  <c r="AA404" i="1"/>
  <c r="AA402" i="1"/>
  <c r="AA401" i="1"/>
  <c r="AA400" i="1"/>
  <c r="AA397" i="1"/>
  <c r="AA396" i="1"/>
  <c r="AA393" i="1"/>
  <c r="AA392" i="1"/>
  <c r="AA389" i="1"/>
  <c r="AA388" i="1"/>
  <c r="AA335" i="1"/>
  <c r="AA334" i="1"/>
  <c r="AA332" i="1"/>
  <c r="AA331" i="1"/>
  <c r="AA330" i="1"/>
  <c r="AA329" i="1"/>
  <c r="AA328" i="1"/>
  <c r="AA327" i="1"/>
  <c r="AA322" i="1"/>
  <c r="AA321" i="1"/>
  <c r="AA320" i="1"/>
  <c r="AA319" i="1"/>
  <c r="AA315" i="1"/>
  <c r="AA336" i="1" l="1"/>
  <c r="AA333" i="1"/>
  <c r="AA418" i="1" l="1"/>
  <c r="AA398" i="1"/>
  <c r="AA338" i="1"/>
  <c r="T376" i="1"/>
  <c r="V376" i="1" s="1"/>
  <c r="T375" i="1"/>
  <c r="V375" i="1" s="1"/>
  <c r="AA432" i="1" l="1"/>
  <c r="AA424" i="1"/>
  <c r="AA375" i="1"/>
  <c r="AA425" i="1"/>
  <c r="AA376" i="1"/>
  <c r="AA403" i="1"/>
  <c r="AA431" i="1"/>
  <c r="AA383" i="1"/>
  <c r="AA386" i="1"/>
  <c r="AA427" i="1"/>
  <c r="AA382" i="1" l="1"/>
  <c r="AA385" i="1"/>
  <c r="AA318" i="1" l="1"/>
  <c r="AA314" i="1"/>
  <c r="AA478" i="1" l="1"/>
  <c r="AA477" i="1"/>
  <c r="T475" i="1"/>
  <c r="V475" i="1" s="1"/>
  <c r="AA474" i="1"/>
  <c r="AA472" i="1"/>
  <c r="AA470" i="1"/>
  <c r="AA468" i="1" l="1"/>
  <c r="AA473" i="1"/>
  <c r="AA475" i="1"/>
  <c r="AA471" i="1"/>
  <c r="T48" i="1"/>
  <c r="V48" i="1" s="1"/>
  <c r="T38" i="1"/>
  <c r="V38" i="1" s="1"/>
  <c r="T46" i="1" l="1"/>
  <c r="V46" i="1" s="1"/>
  <c r="V245" i="1" l="1"/>
  <c r="AA245" i="1" l="1"/>
  <c r="O200" i="1" l="1"/>
  <c r="T233" i="1"/>
  <c r="T203" i="1"/>
  <c r="T202" i="1"/>
  <c r="T201" i="1"/>
  <c r="T199" i="1"/>
  <c r="T198" i="1"/>
  <c r="T197" i="1"/>
  <c r="T196" i="1"/>
  <c r="T193" i="1"/>
  <c r="T191" i="1"/>
  <c r="T190" i="1"/>
  <c r="T188" i="1"/>
  <c r="T187" i="1"/>
  <c r="T186" i="1"/>
  <c r="T184" i="1"/>
  <c r="T182" i="1"/>
  <c r="T179" i="1"/>
  <c r="T178" i="1"/>
  <c r="O233" i="1"/>
  <c r="O203" i="1"/>
  <c r="O202" i="1"/>
  <c r="O201" i="1"/>
  <c r="O199" i="1"/>
  <c r="O198" i="1"/>
  <c r="O197" i="1"/>
  <c r="O196" i="1"/>
  <c r="O193" i="1"/>
  <c r="O191" i="1"/>
  <c r="O190" i="1"/>
  <c r="O188" i="1"/>
  <c r="O187" i="1"/>
  <c r="O186" i="1"/>
  <c r="O184" i="1"/>
  <c r="O183" i="1"/>
  <c r="O182" i="1"/>
  <c r="O179" i="1"/>
  <c r="O178" i="1"/>
  <c r="V178" i="1" l="1"/>
  <c r="AA178" i="1" s="1"/>
  <c r="V182" i="1"/>
  <c r="AA182" i="1" s="1"/>
  <c r="V179" i="1"/>
  <c r="AA179" i="1" s="1"/>
  <c r="V188" i="1"/>
  <c r="AA188" i="1" s="1"/>
  <c r="V196" i="1"/>
  <c r="AA196" i="1" s="1"/>
  <c r="V203" i="1"/>
  <c r="AA203" i="1" s="1"/>
  <c r="V186" i="1"/>
  <c r="AA186" i="1" s="1"/>
  <c r="V198" i="1"/>
  <c r="AA198" i="1" s="1"/>
  <c r="V201" i="1"/>
  <c r="AA201" i="1" s="1"/>
  <c r="V184" i="1"/>
  <c r="AA184" i="1" s="1"/>
  <c r="V190" i="1"/>
  <c r="AA190" i="1" s="1"/>
  <c r="V191" i="1"/>
  <c r="AA191" i="1" s="1"/>
  <c r="V197" i="1"/>
  <c r="AA197" i="1" s="1"/>
  <c r="V233" i="1"/>
  <c r="AA233" i="1" s="1"/>
  <c r="V187" i="1"/>
  <c r="AA187" i="1" s="1"/>
  <c r="V193" i="1"/>
  <c r="AA193" i="1" s="1"/>
  <c r="V199" i="1"/>
  <c r="AA199" i="1" s="1"/>
  <c r="V202" i="1"/>
  <c r="AA202" i="1" s="1"/>
  <c r="F479" i="1" l="1"/>
  <c r="G479" i="1"/>
  <c r="E479" i="1"/>
  <c r="E458" i="1"/>
  <c r="F341" i="1"/>
  <c r="G341" i="1"/>
  <c r="E341" i="1"/>
  <c r="AA457" i="1" l="1"/>
  <c r="AA309" i="1"/>
  <c r="V310" i="1" l="1"/>
  <c r="V479" i="1"/>
  <c r="AA479" i="1" s="1"/>
  <c r="T294" i="1"/>
  <c r="V294" i="1" s="1"/>
  <c r="T291" i="1"/>
  <c r="V291" i="1" s="1"/>
  <c r="AA310" i="1" l="1"/>
  <c r="AA529" i="1"/>
  <c r="AA291" i="1"/>
  <c r="AA294" i="1"/>
  <c r="F56" i="1" l="1"/>
  <c r="G56" i="1"/>
  <c r="E56" i="1"/>
  <c r="AA435" i="1" l="1"/>
  <c r="AA436" i="1" l="1"/>
  <c r="AA455" i="1" l="1"/>
  <c r="V489" i="1" l="1"/>
  <c r="AA444" i="1" l="1"/>
  <c r="AA306" i="1"/>
  <c r="AA446" i="1" l="1"/>
  <c r="AA486" i="1"/>
  <c r="AA443" i="1"/>
  <c r="AA448" i="1"/>
  <c r="AA449" i="1"/>
  <c r="AA492" i="1"/>
  <c r="AA493" i="1" s="1"/>
  <c r="AA447" i="1"/>
  <c r="AA343" i="1"/>
  <c r="AA489" i="1" l="1"/>
  <c r="T75" i="1" l="1"/>
  <c r="V75" i="1" l="1"/>
  <c r="AA75" i="1" s="1"/>
  <c r="F346" i="1"/>
  <c r="G346" i="1"/>
  <c r="F487" i="1"/>
  <c r="G487" i="1"/>
  <c r="V531" i="1" l="1"/>
  <c r="AA531" i="1" l="1"/>
  <c r="R293" i="1"/>
  <c r="R278" i="1"/>
  <c r="R270" i="1"/>
  <c r="R247" i="1"/>
  <c r="R214" i="1"/>
  <c r="R133" i="1"/>
  <c r="R70" i="1"/>
  <c r="R69" i="1"/>
  <c r="R28" i="1"/>
  <c r="R21" i="1"/>
  <c r="R20" i="1"/>
  <c r="P299" i="1"/>
  <c r="V299" i="1" s="1"/>
  <c r="P298" i="1"/>
  <c r="V298" i="1" s="1"/>
  <c r="P293" i="1"/>
  <c r="P288" i="1"/>
  <c r="P287" i="1"/>
  <c r="V287" i="1" s="1"/>
  <c r="P284" i="1"/>
  <c r="V284" i="1" s="1"/>
  <c r="P281" i="1"/>
  <c r="V281" i="1" s="1"/>
  <c r="P274" i="1"/>
  <c r="V274" i="1" s="1"/>
  <c r="P270" i="1"/>
  <c r="P261" i="1"/>
  <c r="V261" i="1" s="1"/>
  <c r="P256" i="1"/>
  <c r="V256" i="1" s="1"/>
  <c r="P214" i="1"/>
  <c r="P133" i="1"/>
  <c r="P81" i="1"/>
  <c r="V81" i="1" s="1"/>
  <c r="P28" i="1"/>
  <c r="P21" i="1"/>
  <c r="P20" i="1"/>
  <c r="R301" i="1"/>
  <c r="R264" i="1"/>
  <c r="R251" i="1"/>
  <c r="R243" i="1"/>
  <c r="R242" i="1"/>
  <c r="R235" i="1"/>
  <c r="R234" i="1"/>
  <c r="R230" i="1"/>
  <c r="R225" i="1"/>
  <c r="R221" i="1"/>
  <c r="R219" i="1"/>
  <c r="R212" i="1"/>
  <c r="R211" i="1"/>
  <c r="V211" i="1" s="1"/>
  <c r="R208" i="1"/>
  <c r="R177" i="1"/>
  <c r="R174" i="1"/>
  <c r="R170" i="1"/>
  <c r="R169" i="1"/>
  <c r="R168" i="1"/>
  <c r="R167" i="1"/>
  <c r="R166" i="1"/>
  <c r="R165" i="1"/>
  <c r="V165" i="1" s="1"/>
  <c r="R164" i="1"/>
  <c r="R163" i="1"/>
  <c r="R162" i="1"/>
  <c r="R159" i="1"/>
  <c r="R157" i="1"/>
  <c r="R156" i="1"/>
  <c r="R153" i="1"/>
  <c r="R151" i="1"/>
  <c r="R150" i="1"/>
  <c r="R145" i="1"/>
  <c r="R144" i="1"/>
  <c r="R143" i="1"/>
  <c r="R142" i="1"/>
  <c r="R135" i="1"/>
  <c r="R134" i="1"/>
  <c r="R132" i="1"/>
  <c r="R131" i="1"/>
  <c r="R130" i="1"/>
  <c r="R129" i="1"/>
  <c r="R128" i="1"/>
  <c r="R127" i="1"/>
  <c r="R126" i="1"/>
  <c r="R125" i="1"/>
  <c r="R124" i="1"/>
  <c r="R123" i="1"/>
  <c r="R120" i="1"/>
  <c r="R119" i="1"/>
  <c r="V119" i="1" s="1"/>
  <c r="R118" i="1"/>
  <c r="V118" i="1" s="1"/>
  <c r="R117" i="1"/>
  <c r="R115" i="1"/>
  <c r="R114" i="1"/>
  <c r="R113" i="1"/>
  <c r="R112" i="1"/>
  <c r="R111" i="1"/>
  <c r="R110" i="1"/>
  <c r="R109" i="1"/>
  <c r="V109" i="1" s="1"/>
  <c r="R108" i="1"/>
  <c r="R107" i="1"/>
  <c r="R106" i="1"/>
  <c r="R105" i="1"/>
  <c r="R104" i="1"/>
  <c r="R103" i="1"/>
  <c r="R100" i="1"/>
  <c r="R99" i="1"/>
  <c r="R97" i="1"/>
  <c r="R96" i="1"/>
  <c r="R95" i="1"/>
  <c r="R94" i="1"/>
  <c r="R91" i="1"/>
  <c r="R89" i="1"/>
  <c r="R88" i="1"/>
  <c r="R87" i="1"/>
  <c r="R86" i="1"/>
  <c r="V86" i="1" s="1"/>
  <c r="R85" i="1"/>
  <c r="V85" i="1" s="1"/>
  <c r="R84" i="1"/>
  <c r="V84" i="1" s="1"/>
  <c r="R83" i="1"/>
  <c r="V83" i="1" s="1"/>
  <c r="R82" i="1"/>
  <c r="R73" i="1"/>
  <c r="R58" i="1"/>
  <c r="R39" i="1"/>
  <c r="R37" i="1"/>
  <c r="R36" i="1"/>
  <c r="R35" i="1"/>
  <c r="R34" i="1"/>
  <c r="R33" i="1"/>
  <c r="R32" i="1"/>
  <c r="R31" i="1"/>
  <c r="P301" i="1"/>
  <c r="P297" i="1"/>
  <c r="V297" i="1" s="1"/>
  <c r="P296" i="1"/>
  <c r="V296" i="1" s="1"/>
  <c r="P292" i="1"/>
  <c r="V292" i="1" s="1"/>
  <c r="P283" i="1"/>
  <c r="V283" i="1" s="1"/>
  <c r="P282" i="1"/>
  <c r="V282" i="1" s="1"/>
  <c r="P279" i="1"/>
  <c r="V279" i="1" s="1"/>
  <c r="P264" i="1"/>
  <c r="P255" i="1"/>
  <c r="V255" i="1" s="1"/>
  <c r="P252" i="1"/>
  <c r="V252" i="1" s="1"/>
  <c r="P251" i="1"/>
  <c r="P250" i="1"/>
  <c r="V250" i="1" s="1"/>
  <c r="P246" i="1"/>
  <c r="V246" i="1" s="1"/>
  <c r="P244" i="1"/>
  <c r="V244" i="1" s="1"/>
  <c r="P242" i="1"/>
  <c r="P237" i="1"/>
  <c r="V237" i="1" s="1"/>
  <c r="P236" i="1"/>
  <c r="V236" i="1" s="1"/>
  <c r="P235" i="1"/>
  <c r="P234" i="1"/>
  <c r="P230" i="1"/>
  <c r="P225" i="1"/>
  <c r="P222" i="1"/>
  <c r="V222" i="1" s="1"/>
  <c r="P220" i="1"/>
  <c r="V220" i="1" s="1"/>
  <c r="P219" i="1"/>
  <c r="P218" i="1"/>
  <c r="V218" i="1" s="1"/>
  <c r="P217" i="1"/>
  <c r="V217" i="1" s="1"/>
  <c r="P216" i="1"/>
  <c r="V216" i="1" s="1"/>
  <c r="P212" i="1"/>
  <c r="P208" i="1"/>
  <c r="P177" i="1"/>
  <c r="P176" i="1"/>
  <c r="V176" i="1" s="1"/>
  <c r="P175" i="1"/>
  <c r="P174" i="1"/>
  <c r="P169" i="1"/>
  <c r="P168" i="1"/>
  <c r="P167" i="1"/>
  <c r="P166" i="1"/>
  <c r="P164" i="1"/>
  <c r="P163" i="1"/>
  <c r="P162" i="1"/>
  <c r="P161" i="1"/>
  <c r="V161" i="1" s="1"/>
  <c r="P160" i="1"/>
  <c r="V160" i="1" s="1"/>
  <c r="P159" i="1"/>
  <c r="P157" i="1"/>
  <c r="P156" i="1"/>
  <c r="P153" i="1"/>
  <c r="P151" i="1"/>
  <c r="P150" i="1"/>
  <c r="P145" i="1"/>
  <c r="P144" i="1"/>
  <c r="P143" i="1"/>
  <c r="P142" i="1"/>
  <c r="P135" i="1"/>
  <c r="P134" i="1"/>
  <c r="P132" i="1"/>
  <c r="P131" i="1"/>
  <c r="P130" i="1"/>
  <c r="P129" i="1"/>
  <c r="P128" i="1"/>
  <c r="P127" i="1"/>
  <c r="P125" i="1"/>
  <c r="P124" i="1"/>
  <c r="P123" i="1"/>
  <c r="P121" i="1"/>
  <c r="V121" i="1" s="1"/>
  <c r="P120" i="1"/>
  <c r="P117" i="1"/>
  <c r="P115" i="1"/>
  <c r="P114" i="1"/>
  <c r="P113" i="1"/>
  <c r="P112" i="1"/>
  <c r="P111" i="1"/>
  <c r="P110" i="1"/>
  <c r="P108" i="1"/>
  <c r="P107" i="1"/>
  <c r="P104" i="1"/>
  <c r="P103" i="1"/>
  <c r="P100" i="1"/>
  <c r="P99" i="1"/>
  <c r="P96" i="1"/>
  <c r="P95" i="1"/>
  <c r="P94" i="1"/>
  <c r="P93" i="1"/>
  <c r="P92" i="1"/>
  <c r="V92" i="1" s="1"/>
  <c r="P90" i="1"/>
  <c r="V90" i="1" s="1"/>
  <c r="P89" i="1"/>
  <c r="P88" i="1"/>
  <c r="P80" i="1"/>
  <c r="V80" i="1" s="1"/>
  <c r="P79" i="1"/>
  <c r="V79" i="1" s="1"/>
  <c r="P78" i="1"/>
  <c r="V78" i="1" s="1"/>
  <c r="P77" i="1"/>
  <c r="P73" i="1"/>
  <c r="P59" i="1"/>
  <c r="P58" i="1"/>
  <c r="P55" i="1"/>
  <c r="V55" i="1" s="1"/>
  <c r="P40" i="1"/>
  <c r="V40" i="1" s="1"/>
  <c r="P39" i="1"/>
  <c r="P37" i="1"/>
  <c r="P36" i="1"/>
  <c r="P35" i="1"/>
  <c r="P34" i="1"/>
  <c r="P33" i="1"/>
  <c r="P32" i="1"/>
  <c r="P31" i="1"/>
  <c r="P30" i="1"/>
  <c r="P29" i="1"/>
  <c r="P249" i="1"/>
  <c r="V249" i="1" s="1"/>
  <c r="P241" i="1"/>
  <c r="V241" i="1" s="1"/>
  <c r="P239" i="1"/>
  <c r="V239" i="1" s="1"/>
  <c r="P238" i="1"/>
  <c r="V238" i="1" s="1"/>
  <c r="P215" i="1"/>
  <c r="V215" i="1" s="1"/>
  <c r="P213" i="1"/>
  <c r="V213" i="1" s="1"/>
  <c r="P204" i="1"/>
  <c r="V204" i="1" s="1"/>
  <c r="P185" i="1"/>
  <c r="V185" i="1" s="1"/>
  <c r="P171" i="1"/>
  <c r="V171" i="1" s="1"/>
  <c r="V21" i="1" l="1"/>
  <c r="V133" i="1"/>
  <c r="AA133" i="1" s="1"/>
  <c r="V167" i="1"/>
  <c r="AA167" i="1" s="1"/>
  <c r="V174" i="1"/>
  <c r="AA174" i="1" s="1"/>
  <c r="V166" i="1"/>
  <c r="AA166" i="1" s="1"/>
  <c r="V170" i="1"/>
  <c r="AA170" i="1" s="1"/>
  <c r="V88" i="1"/>
  <c r="AA88" i="1" s="1"/>
  <c r="V112" i="1"/>
  <c r="AA112" i="1" s="1"/>
  <c r="V117" i="1"/>
  <c r="AA117" i="1" s="1"/>
  <c r="V77" i="1"/>
  <c r="AA77" i="1" s="1"/>
  <c r="V169" i="1"/>
  <c r="AA169" i="1" s="1"/>
  <c r="V168" i="1"/>
  <c r="AA168" i="1" s="1"/>
  <c r="V30" i="1"/>
  <c r="AA30" i="1" s="1"/>
  <c r="V34" i="1"/>
  <c r="V39" i="1"/>
  <c r="AA39" i="1" s="1"/>
  <c r="V94" i="1"/>
  <c r="AA94" i="1" s="1"/>
  <c r="V108" i="1"/>
  <c r="AA108" i="1" s="1"/>
  <c r="V135" i="1"/>
  <c r="AA135" i="1" s="1"/>
  <c r="V123" i="1"/>
  <c r="AA123" i="1" s="1"/>
  <c r="V163" i="1"/>
  <c r="AA163" i="1" s="1"/>
  <c r="V59" i="1"/>
  <c r="AA59" i="1" s="1"/>
  <c r="V87" i="1"/>
  <c r="AA87" i="1" s="1"/>
  <c r="V96" i="1"/>
  <c r="AA96" i="1" s="1"/>
  <c r="V106" i="1"/>
  <c r="AA106" i="1" s="1"/>
  <c r="V111" i="1"/>
  <c r="AA111" i="1" s="1"/>
  <c r="V115" i="1"/>
  <c r="AA115" i="1" s="1"/>
  <c r="V132" i="1"/>
  <c r="AA132" i="1" s="1"/>
  <c r="V264" i="1"/>
  <c r="AA264" i="1" s="1"/>
  <c r="V32" i="1"/>
  <c r="AA32" i="1" s="1"/>
  <c r="V36" i="1"/>
  <c r="AA36" i="1" s="1"/>
  <c r="V89" i="1"/>
  <c r="AA89" i="1" s="1"/>
  <c r="V177" i="1"/>
  <c r="AA177" i="1" s="1"/>
  <c r="V235" i="1"/>
  <c r="AA235" i="1" s="1"/>
  <c r="V293" i="1"/>
  <c r="AA293" i="1" s="1"/>
  <c r="V82" i="1"/>
  <c r="AA82" i="1" s="1"/>
  <c r="V110" i="1"/>
  <c r="AA110" i="1" s="1"/>
  <c r="V114" i="1"/>
  <c r="AA114" i="1" s="1"/>
  <c r="V33" i="1"/>
  <c r="AA33" i="1" s="1"/>
  <c r="V95" i="1"/>
  <c r="AA95" i="1" s="1"/>
  <c r="V100" i="1"/>
  <c r="AA100" i="1" s="1"/>
  <c r="V105" i="1"/>
  <c r="AA105" i="1" s="1"/>
  <c r="V127" i="1"/>
  <c r="AA127" i="1" s="1"/>
  <c r="V131" i="1"/>
  <c r="AA131" i="1" s="1"/>
  <c r="V142" i="1"/>
  <c r="AA142" i="1" s="1"/>
  <c r="V162" i="1"/>
  <c r="AA162" i="1" s="1"/>
  <c r="V301" i="1"/>
  <c r="AA301" i="1" s="1"/>
  <c r="V31" i="1"/>
  <c r="AA31" i="1" s="1"/>
  <c r="V35" i="1"/>
  <c r="AA35" i="1" s="1"/>
  <c r="V93" i="1"/>
  <c r="AA93" i="1" s="1"/>
  <c r="V97" i="1"/>
  <c r="AA97" i="1" s="1"/>
  <c r="V104" i="1"/>
  <c r="AA104" i="1" s="1"/>
  <c r="V107" i="1"/>
  <c r="AA107" i="1" s="1"/>
  <c r="V134" i="1"/>
  <c r="AA134" i="1" s="1"/>
  <c r="V164" i="1"/>
  <c r="AA164" i="1" s="1"/>
  <c r="V242" i="1"/>
  <c r="AA242" i="1" s="1"/>
  <c r="V251" i="1"/>
  <c r="AA251" i="1" s="1"/>
  <c r="AA287" i="1"/>
  <c r="V20" i="1"/>
  <c r="AA20" i="1" s="1"/>
  <c r="AA92" i="1"/>
  <c r="AA241" i="1"/>
  <c r="AA78" i="1"/>
  <c r="AA237" i="1"/>
  <c r="AA255" i="1"/>
  <c r="AA283" i="1"/>
  <c r="AA297" i="1"/>
  <c r="AA83" i="1"/>
  <c r="AA84" i="1"/>
  <c r="AA86" i="1"/>
  <c r="AA256" i="1"/>
  <c r="AA281" i="1"/>
  <c r="AA215" i="1"/>
  <c r="AA249" i="1"/>
  <c r="AA79" i="1"/>
  <c r="AA80" i="1"/>
  <c r="AA90" i="1"/>
  <c r="AA176" i="1"/>
  <c r="AA216" i="1"/>
  <c r="AA220" i="1"/>
  <c r="AA250" i="1"/>
  <c r="AA292" i="1"/>
  <c r="AA81" i="1"/>
  <c r="AA213" i="1"/>
  <c r="AA171" i="1"/>
  <c r="AA238" i="1"/>
  <c r="AA40" i="1"/>
  <c r="AA217" i="1"/>
  <c r="AA222" i="1"/>
  <c r="AA244" i="1"/>
  <c r="AA279" i="1"/>
  <c r="AA296" i="1"/>
  <c r="AA109" i="1"/>
  <c r="AA118" i="1"/>
  <c r="AA165" i="1"/>
  <c r="AA211" i="1"/>
  <c r="AA261" i="1"/>
  <c r="AA274" i="1"/>
  <c r="AA284" i="1"/>
  <c r="AA298" i="1"/>
  <c r="AA204" i="1"/>
  <c r="AA239" i="1"/>
  <c r="AA55" i="1"/>
  <c r="AA121" i="1"/>
  <c r="AA218" i="1"/>
  <c r="AA236" i="1"/>
  <c r="AA246" i="1"/>
  <c r="AA252" i="1"/>
  <c r="AA282" i="1"/>
  <c r="AA85" i="1"/>
  <c r="AA119" i="1"/>
  <c r="AA299" i="1"/>
  <c r="E76" i="1" l="1"/>
  <c r="S225" i="1"/>
  <c r="V225" i="1" s="1"/>
  <c r="S221" i="1"/>
  <c r="V221" i="1" s="1"/>
  <c r="S219" i="1"/>
  <c r="S212" i="1"/>
  <c r="V212" i="1" s="1"/>
  <c r="S208" i="1"/>
  <c r="S207" i="1"/>
  <c r="S173" i="1"/>
  <c r="S158" i="1"/>
  <c r="S157" i="1"/>
  <c r="S155" i="1"/>
  <c r="S150" i="1"/>
  <c r="S145" i="1"/>
  <c r="S144" i="1"/>
  <c r="S143" i="1"/>
  <c r="S130" i="1"/>
  <c r="S129" i="1"/>
  <c r="S126" i="1"/>
  <c r="S125" i="1"/>
  <c r="V125" i="1" s="1"/>
  <c r="S124" i="1"/>
  <c r="V124" i="1" s="1"/>
  <c r="S120" i="1"/>
  <c r="V103" i="1"/>
  <c r="S102" i="1"/>
  <c r="S99" i="1"/>
  <c r="S91" i="1"/>
  <c r="S73" i="1"/>
  <c r="S58" i="1"/>
  <c r="Q243" i="1"/>
  <c r="Q219" i="1"/>
  <c r="Q208" i="1"/>
  <c r="Q207" i="1"/>
  <c r="Q173" i="1"/>
  <c r="V173" i="1" s="1"/>
  <c r="Q158" i="1"/>
  <c r="Q157" i="1"/>
  <c r="Q155" i="1"/>
  <c r="Q151" i="1"/>
  <c r="Q150" i="1"/>
  <c r="Q145" i="1"/>
  <c r="Q144" i="1"/>
  <c r="Q143" i="1"/>
  <c r="Q139" i="1"/>
  <c r="Q129" i="1"/>
  <c r="Q126" i="1"/>
  <c r="Q102" i="1"/>
  <c r="Q99" i="1"/>
  <c r="Q91" i="1"/>
  <c r="Q73" i="1"/>
  <c r="N240" i="1"/>
  <c r="N219" i="1"/>
  <c r="N208" i="1"/>
  <c r="N207" i="1"/>
  <c r="N158" i="1"/>
  <c r="N157" i="1"/>
  <c r="N151" i="1"/>
  <c r="N145" i="1"/>
  <c r="N143" i="1"/>
  <c r="N139" i="1"/>
  <c r="N102" i="1"/>
  <c r="N99" i="1"/>
  <c r="N91" i="1"/>
  <c r="N73" i="1"/>
  <c r="N54" i="1"/>
  <c r="M240" i="1"/>
  <c r="M219" i="1"/>
  <c r="M208" i="1"/>
  <c r="M207" i="1"/>
  <c r="M158" i="1"/>
  <c r="M157" i="1"/>
  <c r="M151" i="1"/>
  <c r="M145" i="1"/>
  <c r="M143" i="1"/>
  <c r="M139" i="1"/>
  <c r="M102" i="1"/>
  <c r="M99" i="1"/>
  <c r="M91" i="1"/>
  <c r="M73" i="1"/>
  <c r="M54" i="1"/>
  <c r="K240" i="1"/>
  <c r="K219" i="1"/>
  <c r="K208" i="1"/>
  <c r="K207" i="1"/>
  <c r="V159" i="1"/>
  <c r="K158" i="1"/>
  <c r="K157" i="1"/>
  <c r="K153" i="1"/>
  <c r="K145" i="1"/>
  <c r="K143" i="1"/>
  <c r="K139" i="1"/>
  <c r="K102" i="1"/>
  <c r="K99" i="1"/>
  <c r="K91" i="1"/>
  <c r="K73" i="1"/>
  <c r="J280" i="1"/>
  <c r="V280" i="1" s="1"/>
  <c r="J277" i="1"/>
  <c r="V277" i="1" s="1"/>
  <c r="J243" i="1"/>
  <c r="J219" i="1"/>
  <c r="J208" i="1"/>
  <c r="J207" i="1"/>
  <c r="J205" i="1"/>
  <c r="V205" i="1" s="1"/>
  <c r="J175" i="1"/>
  <c r="V175" i="1" s="1"/>
  <c r="J158" i="1"/>
  <c r="J157" i="1"/>
  <c r="J156" i="1"/>
  <c r="V156" i="1" s="1"/>
  <c r="J145" i="1"/>
  <c r="J143" i="1"/>
  <c r="J139" i="1"/>
  <c r="J130" i="1"/>
  <c r="J126" i="1"/>
  <c r="J120" i="1"/>
  <c r="J113" i="1"/>
  <c r="J102" i="1"/>
  <c r="J99" i="1"/>
  <c r="J73" i="1"/>
  <c r="J53" i="1"/>
  <c r="V53" i="1" s="1"/>
  <c r="E248" i="1"/>
  <c r="V158" i="1" l="1"/>
  <c r="AA158" i="1" s="1"/>
  <c r="V150" i="1"/>
  <c r="V157" i="1"/>
  <c r="AA157" i="1" s="1"/>
  <c r="V128" i="1"/>
  <c r="AA128" i="1" s="1"/>
  <c r="V120" i="1"/>
  <c r="AA120" i="1" s="1"/>
  <c r="V129" i="1"/>
  <c r="AA129" i="1" s="1"/>
  <c r="V208" i="1"/>
  <c r="AA208" i="1" s="1"/>
  <c r="V102" i="1"/>
  <c r="AA102" i="1" s="1"/>
  <c r="V145" i="1"/>
  <c r="AA145" i="1" s="1"/>
  <c r="V130" i="1"/>
  <c r="AA130" i="1" s="1"/>
  <c r="V155" i="1"/>
  <c r="AA155" i="1" s="1"/>
  <c r="V139" i="1"/>
  <c r="AA139" i="1" s="1"/>
  <c r="AA173" i="1"/>
  <c r="V73" i="1"/>
  <c r="V99" i="1"/>
  <c r="AA99" i="1" s="1"/>
  <c r="V126" i="1"/>
  <c r="AA126" i="1" s="1"/>
  <c r="V143" i="1"/>
  <c r="AA143" i="1" s="1"/>
  <c r="V219" i="1"/>
  <c r="AA219" i="1" s="1"/>
  <c r="V240" i="1"/>
  <c r="AA240" i="1" s="1"/>
  <c r="V54" i="1"/>
  <c r="AA54" i="1" s="1"/>
  <c r="V151" i="1"/>
  <c r="AA151" i="1" s="1"/>
  <c r="AA150" i="1"/>
  <c r="V113" i="1"/>
  <c r="AA113" i="1" s="1"/>
  <c r="V153" i="1"/>
  <c r="AA153" i="1" s="1"/>
  <c r="V207" i="1"/>
  <c r="AA207" i="1" s="1"/>
  <c r="V144" i="1"/>
  <c r="AA144" i="1" s="1"/>
  <c r="AA53" i="1"/>
  <c r="AA140" i="1"/>
  <c r="AA160" i="1"/>
  <c r="AA161" i="1"/>
  <c r="AA205" i="1"/>
  <c r="AA280" i="1"/>
  <c r="AA221" i="1"/>
  <c r="AA212" i="1"/>
  <c r="AA225" i="1"/>
  <c r="AA124" i="1"/>
  <c r="AA156" i="1"/>
  <c r="AA175" i="1"/>
  <c r="AA277" i="1"/>
  <c r="AA159" i="1"/>
  <c r="AA34" i="1"/>
  <c r="AA103" i="1"/>
  <c r="AA125" i="1"/>
  <c r="E253" i="1"/>
  <c r="R248" i="1"/>
  <c r="V248" i="1" s="1"/>
  <c r="P76" i="1"/>
  <c r="AA73" i="1" l="1"/>
  <c r="V76" i="1"/>
  <c r="AA76" i="1" s="1"/>
  <c r="AA248" i="1"/>
  <c r="S214" i="1"/>
  <c r="N295" i="1"/>
  <c r="V295" i="1" s="1"/>
  <c r="V247" i="1"/>
  <c r="N214" i="1"/>
  <c r="M271" i="1"/>
  <c r="M214" i="1"/>
  <c r="K214" i="1"/>
  <c r="J271" i="1"/>
  <c r="J68" i="1"/>
  <c r="J67" i="1"/>
  <c r="J66" i="1"/>
  <c r="J65" i="1"/>
  <c r="J64" i="1"/>
  <c r="J63" i="1"/>
  <c r="J62" i="1"/>
  <c r="V288" i="1" l="1"/>
  <c r="AA288" i="1" s="1"/>
  <c r="V62" i="1"/>
  <c r="AA62" i="1" s="1"/>
  <c r="V66" i="1"/>
  <c r="AA66" i="1" s="1"/>
  <c r="V63" i="1"/>
  <c r="AA63" i="1" s="1"/>
  <c r="V67" i="1"/>
  <c r="AA67" i="1" s="1"/>
  <c r="V64" i="1"/>
  <c r="AA64" i="1" s="1"/>
  <c r="V68" i="1"/>
  <c r="AA68" i="1" s="1"/>
  <c r="V65" i="1"/>
  <c r="AA65" i="1" s="1"/>
  <c r="V271" i="1"/>
  <c r="AA271" i="1" s="1"/>
  <c r="AA247" i="1"/>
  <c r="AA295" i="1"/>
  <c r="V289" i="1" l="1"/>
  <c r="AA289" i="1" s="1"/>
  <c r="R29" i="1" l="1"/>
  <c r="V29" i="1" s="1"/>
  <c r="AA29" i="1" l="1"/>
  <c r="T200" i="1"/>
  <c r="V200" i="1" s="1"/>
  <c r="AA200" i="1" l="1"/>
  <c r="E265" i="1"/>
  <c r="F265" i="1"/>
  <c r="G265" i="1"/>
  <c r="F22" i="1"/>
  <c r="G22" i="1"/>
  <c r="V265" i="1" l="1"/>
  <c r="AA265" i="1" s="1"/>
  <c r="U91" i="1" l="1"/>
  <c r="V91" i="1" s="1"/>
  <c r="AA91" i="1" l="1"/>
  <c r="S210" i="1" l="1"/>
  <c r="Q210" i="1"/>
  <c r="N210" i="1"/>
  <c r="M210" i="1"/>
  <c r="J210" i="1"/>
  <c r="R122" i="1" l="1"/>
  <c r="Q137" i="1" l="1"/>
  <c r="P258" i="1" l="1"/>
  <c r="V258" i="1" s="1"/>
  <c r="P257" i="1"/>
  <c r="V257" i="1" s="1"/>
  <c r="AA257" i="1" l="1"/>
  <c r="AA258" i="1"/>
  <c r="V70" i="1"/>
  <c r="V69" i="1"/>
  <c r="R172" i="1"/>
  <c r="K172" i="1"/>
  <c r="V172" i="1" l="1"/>
  <c r="AA172" i="1" s="1"/>
  <c r="AA69" i="1"/>
  <c r="AA70" i="1"/>
  <c r="S154" i="1" l="1"/>
  <c r="S152" i="1"/>
  <c r="S149" i="1"/>
  <c r="S148" i="1"/>
  <c r="S147" i="1"/>
  <c r="S146" i="1"/>
  <c r="S141" i="1"/>
  <c r="S138" i="1"/>
  <c r="R210" i="1"/>
  <c r="R154" i="1"/>
  <c r="R152" i="1"/>
  <c r="R149" i="1"/>
  <c r="R148" i="1"/>
  <c r="R147" i="1"/>
  <c r="R146" i="1"/>
  <c r="R141" i="1"/>
  <c r="R138" i="1"/>
  <c r="Q154" i="1"/>
  <c r="Q152" i="1"/>
  <c r="Q149" i="1"/>
  <c r="Q148" i="1"/>
  <c r="Q147" i="1"/>
  <c r="Q141" i="1"/>
  <c r="Q138" i="1"/>
  <c r="P210" i="1"/>
  <c r="P154" i="1"/>
  <c r="P152" i="1"/>
  <c r="P149" i="1"/>
  <c r="P148" i="1"/>
  <c r="P147" i="1"/>
  <c r="P146" i="1"/>
  <c r="P141" i="1"/>
  <c r="P138" i="1"/>
  <c r="N141" i="1"/>
  <c r="N138" i="1"/>
  <c r="N137" i="1"/>
  <c r="M141" i="1"/>
  <c r="M138" i="1"/>
  <c r="M137" i="1"/>
  <c r="K210" i="1"/>
  <c r="K138" i="1"/>
  <c r="K137" i="1"/>
  <c r="K37" i="1"/>
  <c r="V37" i="1" s="1"/>
  <c r="J154" i="1"/>
  <c r="J141" i="1"/>
  <c r="J138" i="1"/>
  <c r="J137" i="1"/>
  <c r="V149" i="1" l="1"/>
  <c r="AA149" i="1" s="1"/>
  <c r="V154" i="1"/>
  <c r="AA154" i="1" s="1"/>
  <c r="V137" i="1"/>
  <c r="AA137" i="1" s="1"/>
  <c r="V141" i="1"/>
  <c r="AA141" i="1" s="1"/>
  <c r="V146" i="1"/>
  <c r="AA146" i="1" s="1"/>
  <c r="V152" i="1"/>
  <c r="AA152" i="1" s="1"/>
  <c r="V147" i="1"/>
  <c r="AA147" i="1" s="1"/>
  <c r="V148" i="1"/>
  <c r="AA148" i="1" s="1"/>
  <c r="V210" i="1"/>
  <c r="AA210" i="1" s="1"/>
  <c r="V138" i="1"/>
  <c r="AA138" i="1" s="1"/>
  <c r="A532" i="1"/>
  <c r="A533" i="1"/>
  <c r="A534" i="1"/>
  <c r="AA37" i="1" l="1"/>
  <c r="V341" i="1" l="1"/>
  <c r="AA341" i="1" l="1"/>
  <c r="P300" i="1"/>
  <c r="V300" i="1" s="1"/>
  <c r="AA300" i="1" l="1"/>
  <c r="P24" i="1"/>
  <c r="V24" i="1" s="1"/>
  <c r="AA24" i="1" l="1"/>
  <c r="T42" i="1" l="1"/>
  <c r="V42" i="1" s="1"/>
  <c r="T52" i="1"/>
  <c r="V52" i="1" s="1"/>
  <c r="T51" i="1"/>
  <c r="V51" i="1" s="1"/>
  <c r="T50" i="1"/>
  <c r="V50" i="1" s="1"/>
  <c r="T49" i="1"/>
  <c r="V49" i="1" s="1"/>
  <c r="T47" i="1"/>
  <c r="V47" i="1" s="1"/>
  <c r="T45" i="1"/>
  <c r="V45" i="1" s="1"/>
  <c r="T44" i="1"/>
  <c r="V44" i="1" s="1"/>
  <c r="T43" i="1"/>
  <c r="V43" i="1" s="1"/>
  <c r="T41" i="1"/>
  <c r="V41" i="1" s="1"/>
  <c r="AA50" i="1" l="1"/>
  <c r="AA51" i="1"/>
  <c r="AA44" i="1"/>
  <c r="AA47" i="1"/>
  <c r="AA45" i="1"/>
  <c r="AA41" i="1"/>
  <c r="AA43" i="1"/>
  <c r="AA49" i="1"/>
  <c r="AA42" i="1"/>
  <c r="P122" i="1"/>
  <c r="V122" i="1" s="1"/>
  <c r="P229" i="1"/>
  <c r="P228" i="1"/>
  <c r="P227" i="1"/>
  <c r="P226" i="1"/>
  <c r="P223" i="1"/>
  <c r="AA122" i="1" l="1"/>
  <c r="T195" i="1"/>
  <c r="V195" i="1" s="1"/>
  <c r="T181" i="1"/>
  <c r="V181" i="1" s="1"/>
  <c r="T180" i="1"/>
  <c r="V180" i="1" s="1"/>
  <c r="T183" i="1"/>
  <c r="V183" i="1" s="1"/>
  <c r="AA185" i="1" l="1"/>
  <c r="AA181" i="1"/>
  <c r="AA183" i="1"/>
  <c r="AA195" i="1"/>
  <c r="AA180" i="1"/>
  <c r="S267" i="1"/>
  <c r="S232" i="1"/>
  <c r="S227" i="1"/>
  <c r="S226" i="1"/>
  <c r="S206" i="1"/>
  <c r="R267" i="1"/>
  <c r="R229" i="1"/>
  <c r="R228" i="1"/>
  <c r="R227" i="1"/>
  <c r="R226" i="1"/>
  <c r="R224" i="1"/>
  <c r="V224" i="1" s="1"/>
  <c r="R223" i="1"/>
  <c r="V223" i="1" s="1"/>
  <c r="Q232" i="1"/>
  <c r="Q228" i="1"/>
  <c r="Q227" i="1"/>
  <c r="Q226" i="1"/>
  <c r="N232" i="1"/>
  <c r="N229" i="1"/>
  <c r="N227" i="1"/>
  <c r="N226" i="1"/>
  <c r="N209" i="1"/>
  <c r="N206" i="1"/>
  <c r="M232" i="1"/>
  <c r="M229" i="1"/>
  <c r="M227" i="1"/>
  <c r="M226" i="1"/>
  <c r="M209" i="1"/>
  <c r="M206" i="1"/>
  <c r="K232" i="1"/>
  <c r="K229" i="1"/>
  <c r="K227" i="1"/>
  <c r="K226" i="1"/>
  <c r="K209" i="1"/>
  <c r="K206" i="1"/>
  <c r="J232" i="1"/>
  <c r="J228" i="1"/>
  <c r="J227" i="1"/>
  <c r="J226" i="1"/>
  <c r="J206" i="1"/>
  <c r="V278" i="1"/>
  <c r="S28" i="1"/>
  <c r="Q214" i="1"/>
  <c r="Q28" i="1"/>
  <c r="N231" i="1"/>
  <c r="N28" i="1"/>
  <c r="M231" i="1"/>
  <c r="M28" i="1"/>
  <c r="K231" i="1"/>
  <c r="K28" i="1"/>
  <c r="J231" i="1"/>
  <c r="J28" i="1"/>
  <c r="V267" i="1" l="1"/>
  <c r="AA267" i="1" s="1"/>
  <c r="V206" i="1"/>
  <c r="AA206" i="1" s="1"/>
  <c r="V231" i="1"/>
  <c r="AA231" i="1" s="1"/>
  <c r="V209" i="1"/>
  <c r="AA209" i="1" s="1"/>
  <c r="V232" i="1"/>
  <c r="AA232" i="1" s="1"/>
  <c r="AA278" i="1"/>
  <c r="AA223" i="1"/>
  <c r="AA224" i="1"/>
  <c r="U451" i="1"/>
  <c r="V451" i="1" s="1"/>
  <c r="U452" i="1"/>
  <c r="V452" i="1" s="1"/>
  <c r="U453" i="1"/>
  <c r="V453" i="1" s="1"/>
  <c r="U450" i="1"/>
  <c r="V450" i="1" s="1"/>
  <c r="AA450" i="1" l="1"/>
  <c r="AA452" i="1"/>
  <c r="AA451" i="1"/>
  <c r="AA453" i="1"/>
  <c r="AA48" i="1"/>
  <c r="AA38" i="1"/>
  <c r="AA46" i="1" l="1"/>
  <c r="AA52" i="1"/>
  <c r="V71" i="1"/>
  <c r="AA71" i="1" s="1"/>
  <c r="V25" i="1"/>
  <c r="AA25" i="1" s="1"/>
  <c r="V214" i="1" l="1"/>
  <c r="AA21" i="1" l="1"/>
  <c r="AA214" i="1"/>
  <c r="U270" i="1"/>
  <c r="V270" i="1" s="1"/>
  <c r="AA270" i="1" l="1"/>
  <c r="V22" i="1"/>
  <c r="F285" i="1"/>
  <c r="G285" i="1"/>
  <c r="E285" i="1"/>
  <c r="F272" i="1"/>
  <c r="G272" i="1"/>
  <c r="E272" i="1"/>
  <c r="F268" i="1"/>
  <c r="G268" i="1"/>
  <c r="E268" i="1"/>
  <c r="F262" i="1"/>
  <c r="G262" i="1"/>
  <c r="E262" i="1"/>
  <c r="F259" i="1"/>
  <c r="G259" i="1"/>
  <c r="E259" i="1"/>
  <c r="F60" i="1"/>
  <c r="G60" i="1"/>
  <c r="E60" i="1"/>
  <c r="F25" i="1"/>
  <c r="G25" i="1"/>
  <c r="E25" i="1"/>
  <c r="E22" i="1"/>
  <c r="AA22" i="1" l="1"/>
  <c r="E275" i="1"/>
  <c r="F275" i="1"/>
  <c r="G275" i="1"/>
  <c r="E346" i="1"/>
  <c r="E462" i="1"/>
  <c r="F462" i="1"/>
  <c r="G462" i="1"/>
  <c r="E484" i="1"/>
  <c r="F484" i="1"/>
  <c r="G484" i="1"/>
  <c r="E487" i="1"/>
  <c r="E71" i="1"/>
  <c r="F71" i="1"/>
  <c r="G71" i="1"/>
  <c r="R136" i="1"/>
  <c r="V136" i="1" s="1"/>
  <c r="F303" i="1" l="1"/>
  <c r="E303" i="1"/>
  <c r="G303" i="1"/>
  <c r="AA136" i="1"/>
  <c r="U58" i="1"/>
  <c r="V58" i="1" s="1"/>
  <c r="V268" i="1"/>
  <c r="AA268" i="1" s="1"/>
  <c r="V484" i="1" l="1"/>
  <c r="AA484" i="1" s="1"/>
  <c r="V490" i="1"/>
  <c r="AA490" i="1" s="1"/>
  <c r="V458" i="1"/>
  <c r="AA458" i="1" s="1"/>
  <c r="V345" i="1"/>
  <c r="AA345" i="1" s="1"/>
  <c r="V344" i="1"/>
  <c r="AA344" i="1" s="1"/>
  <c r="AA58" i="1"/>
  <c r="V272" i="1"/>
  <c r="AA272" i="1" s="1"/>
  <c r="V262" i="1"/>
  <c r="AA262" i="1" s="1"/>
  <c r="V275" i="1"/>
  <c r="AA275" i="1" s="1"/>
  <c r="V285" i="1"/>
  <c r="AA285" i="1" s="1"/>
  <c r="V259" i="1"/>
  <c r="AA259" i="1" s="1"/>
  <c r="V496" i="1" l="1"/>
  <c r="AA496" i="1" s="1"/>
  <c r="V302" i="1"/>
  <c r="AA302" i="1" s="1"/>
  <c r="V60" i="1"/>
  <c r="AA60" i="1" s="1"/>
  <c r="V487" i="1"/>
  <c r="AA487" i="1" s="1"/>
  <c r="V346" i="1"/>
  <c r="V462" i="1"/>
  <c r="AA462" i="1" s="1"/>
  <c r="AA346" i="1" l="1"/>
  <c r="R194" i="1"/>
  <c r="R192" i="1"/>
  <c r="V234" i="1" l="1"/>
  <c r="AA234" i="1" l="1"/>
  <c r="A776" i="1" l="1"/>
  <c r="A777" i="1"/>
  <c r="A778" i="1"/>
  <c r="U243" i="1" l="1"/>
  <c r="V243" i="1" s="1"/>
  <c r="V760" i="1" l="1"/>
  <c r="AA243" i="1"/>
  <c r="V674" i="1" l="1"/>
  <c r="AA674" i="1" s="1"/>
  <c r="V672" i="1"/>
  <c r="AA672" i="1" s="1"/>
  <c r="V686" i="1"/>
  <c r="AA686" i="1" s="1"/>
  <c r="V189" i="1" l="1"/>
  <c r="AA189" i="1" s="1"/>
  <c r="S192" i="1"/>
  <c r="V192" i="1" s="1"/>
  <c r="V194" i="1"/>
  <c r="AA192" i="1" l="1"/>
  <c r="AA194" i="1"/>
  <c r="U229" i="1" l="1"/>
  <c r="V229" i="1" s="1"/>
  <c r="V661" i="1"/>
  <c r="AA661" i="1" s="1"/>
  <c r="U227" i="1"/>
  <c r="V227" i="1" s="1"/>
  <c r="V663" i="1"/>
  <c r="AA663" i="1" s="1"/>
  <c r="V687" i="1"/>
  <c r="AA687" i="1" s="1"/>
  <c r="V693" i="1"/>
  <c r="AA693" i="1" s="1"/>
  <c r="U228" i="1"/>
  <c r="V228" i="1" s="1"/>
  <c r="U657" i="1"/>
  <c r="V657" i="1" s="1"/>
  <c r="AA657" i="1" s="1"/>
  <c r="V659" i="1"/>
  <c r="AA659" i="1" s="1"/>
  <c r="V666" i="1"/>
  <c r="AA666" i="1" s="1"/>
  <c r="V688" i="1"/>
  <c r="AA688" i="1" s="1"/>
  <c r="V694" i="1"/>
  <c r="AA694" i="1" s="1"/>
  <c r="V673" i="1"/>
  <c r="AA673" i="1" s="1"/>
  <c r="U226" i="1"/>
  <c r="V226" i="1" s="1"/>
  <c r="U230" i="1"/>
  <c r="V230" i="1" s="1"/>
  <c r="V662" i="1"/>
  <c r="AA662" i="1" s="1"/>
  <c r="V774" i="1"/>
  <c r="V660" i="1"/>
  <c r="AA660" i="1" s="1"/>
  <c r="V530" i="1"/>
  <c r="AA774" i="1" l="1"/>
  <c r="AA776" i="1" s="1"/>
  <c r="V776" i="1"/>
  <c r="V253" i="1"/>
  <c r="AA253" i="1" s="1"/>
  <c r="AA530" i="1"/>
  <c r="AA227" i="1"/>
  <c r="AA228" i="1"/>
  <c r="AA230" i="1"/>
  <c r="AA226" i="1"/>
  <c r="AA229" i="1"/>
  <c r="V743" i="1"/>
  <c r="AA743" i="1" s="1"/>
  <c r="U28" i="1"/>
  <c r="V28" i="1" s="1"/>
  <c r="AA769" i="1" l="1"/>
  <c r="V769" i="1"/>
  <c r="V712" i="1"/>
  <c r="AA712" i="1" s="1"/>
  <c r="V521" i="1"/>
  <c r="AA521" i="1" s="1"/>
  <c r="AA28" i="1"/>
  <c r="V532" i="1" l="1"/>
  <c r="AA532" i="1" s="1"/>
  <c r="V56" i="1"/>
  <c r="V303" i="1" s="1"/>
  <c r="AA56" i="1" l="1"/>
  <c r="AA303" i="1" s="1"/>
  <c r="G502" i="1"/>
  <c r="G533" i="1" s="1"/>
  <c r="F502" i="1" l="1"/>
  <c r="F533" i="1" s="1"/>
  <c r="E502" i="1" l="1"/>
  <c r="E533" i="1" s="1"/>
  <c r="F542" i="1" l="1"/>
  <c r="G542" i="1"/>
  <c r="F546" i="1" l="1"/>
  <c r="G546" i="1"/>
  <c r="G552" i="1" s="1"/>
  <c r="G568" i="1"/>
  <c r="F568" i="1"/>
  <c r="F552" i="1" l="1"/>
  <c r="G573" i="1"/>
  <c r="F573" i="1" l="1"/>
  <c r="E542" i="1" l="1"/>
  <c r="G717" i="1"/>
  <c r="G724" i="1"/>
  <c r="F717" i="1" l="1"/>
  <c r="G728" i="1"/>
  <c r="G744" i="1"/>
  <c r="V502" i="1"/>
  <c r="V533" i="1" s="1"/>
  <c r="E568" i="1"/>
  <c r="E546" i="1"/>
  <c r="AA502" i="1" l="1"/>
  <c r="AA533" i="1" s="1"/>
  <c r="F724" i="1"/>
  <c r="E552" i="1"/>
  <c r="F744" i="1"/>
  <c r="F728" i="1"/>
  <c r="E573" i="1"/>
  <c r="F750" i="1" l="1"/>
  <c r="G754" i="1"/>
  <c r="G750" i="1"/>
  <c r="E717" i="1" l="1"/>
  <c r="F754" i="1"/>
  <c r="G760" i="1" l="1"/>
  <c r="E724" i="1"/>
  <c r="E728" i="1" l="1"/>
  <c r="F760" i="1"/>
  <c r="E744" i="1" l="1"/>
  <c r="G772" i="1"/>
  <c r="G777" i="1" s="1"/>
  <c r="F772" i="1"/>
  <c r="F777" i="1" s="1"/>
  <c r="F778" i="1" l="1"/>
  <c r="G778" i="1"/>
  <c r="V542" i="1"/>
  <c r="AA542" i="1" s="1"/>
  <c r="E750" i="1" l="1"/>
  <c r="E754" i="1"/>
  <c r="V546" i="1" l="1"/>
  <c r="AA546" i="1" s="1"/>
  <c r="E760" i="1" l="1"/>
  <c r="V552" i="1"/>
  <c r="AA552" i="1" s="1"/>
  <c r="V568" i="1"/>
  <c r="AA568" i="1" s="1"/>
  <c r="V573" i="1" l="1"/>
  <c r="AA573" i="1" s="1"/>
  <c r="E772" i="1" l="1"/>
  <c r="E777" i="1" s="1"/>
  <c r="E778" i="1" l="1"/>
  <c r="V717" i="1"/>
  <c r="AA717" i="1" s="1"/>
  <c r="V724" i="1"/>
  <c r="AA724" i="1" s="1"/>
  <c r="V728" i="1"/>
  <c r="AA728" i="1" l="1"/>
  <c r="V744" i="1"/>
  <c r="AA744" i="1" l="1"/>
  <c r="V750" i="1" l="1"/>
  <c r="AA750" i="1" l="1"/>
  <c r="V754" i="1"/>
  <c r="AA754" i="1" l="1"/>
  <c r="AA760" i="1" l="1"/>
  <c r="V772" i="1" l="1"/>
  <c r="V777" i="1" l="1"/>
  <c r="V778" i="1" s="1"/>
  <c r="AA772" i="1"/>
  <c r="AA777" i="1" s="1"/>
  <c r="AA778" i="1" l="1"/>
</calcChain>
</file>

<file path=xl/sharedStrings.xml><?xml version="1.0" encoding="utf-8"?>
<sst xmlns="http://schemas.openxmlformats.org/spreadsheetml/2006/main" count="2675" uniqueCount="1223">
  <si>
    <t>№ п/п</t>
  </si>
  <si>
    <t>Адрес многоквартирного дома (далее –  МКД)</t>
  </si>
  <si>
    <t>Год постройки</t>
  </si>
  <si>
    <t>Общая площадь, кв.метров</t>
  </si>
  <si>
    <t>Площадь жилой части здания, кв. метров</t>
  </si>
  <si>
    <t>Площадь нежилых помещений
 функционального назначения, кв. метров</t>
  </si>
  <si>
    <t>Инженерные сети электроснабжения</t>
  </si>
  <si>
    <t>Инженерные сети теплоснабжения</t>
  </si>
  <si>
    <t>Инженерные сети газоснабжения</t>
  </si>
  <si>
    <t>Инженерные сети водоснабжения</t>
  </si>
  <si>
    <t>Инженерные сети водоотведения</t>
  </si>
  <si>
    <t>Лифтовое оборудование</t>
  </si>
  <si>
    <t>Ремонт крыши</t>
  </si>
  <si>
    <t>Ремонт подвальных помещений</t>
  </si>
  <si>
    <t xml:space="preserve"> Ремонт фасада</t>
  </si>
  <si>
    <t>Ремонт фундамента</t>
  </si>
  <si>
    <t>Разработка проектной документации</t>
  </si>
  <si>
    <t>Строительный контроль</t>
  </si>
  <si>
    <t>п. Горшечное, пер. Юбилейный, д.6</t>
  </si>
  <si>
    <t>г. Железногорск, пер. Больничный, д.8А</t>
  </si>
  <si>
    <t>г. Железногорск, ул. Гагарина, д.19 корп.2</t>
  </si>
  <si>
    <t>г. Железногорск, ул. Гагарина, д.47</t>
  </si>
  <si>
    <t>г. Железногорск, ул. Гайдара, д.6 корп.2</t>
  </si>
  <si>
    <t>г. Железногорск, ул. Гайдара, д.6 корп.3</t>
  </si>
  <si>
    <t>г. Железногорск, ул. Курская, д.15</t>
  </si>
  <si>
    <t>г. Железногорск, ул. Ленина, д.42 корп.1</t>
  </si>
  <si>
    <t>г. Железногорск, ул. Ленина, д.42 корп.3</t>
  </si>
  <si>
    <t>г. Железногорск, ул. Рокоссовского, д.9</t>
  </si>
  <si>
    <t>п. Магнитный, пер. Школьный, д.2</t>
  </si>
  <si>
    <t>п. Магнитный, ул. Школьная, д.10</t>
  </si>
  <si>
    <t>п. Студенок, ул. Советская, д.8</t>
  </si>
  <si>
    <t>с. Веретенино, ул. Жданова, д.1</t>
  </si>
  <si>
    <t>п. Касторное, ул. 50 лет Октября, д.2</t>
  </si>
  <si>
    <t>п. Касторное, ул. Парковая, д.11</t>
  </si>
  <si>
    <t>п. Новокасторное, ул. Железнодорожная, д.16</t>
  </si>
  <si>
    <t>п. Новокасторное, ул. Железнодорожная, д.16А</t>
  </si>
  <si>
    <t>п. Новокасторное, ул. Железнодорожная, д.20</t>
  </si>
  <si>
    <t>п. Новокасторное, ул. Железнодорожная, д.20А</t>
  </si>
  <si>
    <t>п. Новокасторное, ул. Железнодорожная, д.32</t>
  </si>
  <si>
    <t>п. Новокасторное, ул. Железнодорожная, д.36</t>
  </si>
  <si>
    <t>п. Новокасторное, ул. Железнодорожная, д.58</t>
  </si>
  <si>
    <t>г. Курск, пер. Блинова, д.13/15</t>
  </si>
  <si>
    <t>г. Курск, пер. Промышленный 7-й, д.5 корп.75</t>
  </si>
  <si>
    <t>г. Курск, пер. Шоссейный 3-й, д.4</t>
  </si>
  <si>
    <t>г. Курск, пер. Шоссейный 3-й, д.6</t>
  </si>
  <si>
    <t>г. Курск, пер. Шоссейный 3-й, д.8</t>
  </si>
  <si>
    <t>г. Курск, пер. Южный, д.29</t>
  </si>
  <si>
    <t>г. Курск, пл. Красная, д.2/4</t>
  </si>
  <si>
    <t>г. Курск, пр-кт Дружбы, д.12</t>
  </si>
  <si>
    <t>г. Курск, пр-кт Дружбы, д.13</t>
  </si>
  <si>
    <t>г. Курск, пр-кт Дружбы, д.16</t>
  </si>
  <si>
    <t>г. Курск, пр-кт Дружбы, д.28</t>
  </si>
  <si>
    <t>г. Курск, пр-кт Кулакова, д.1Б</t>
  </si>
  <si>
    <t>г. Курск, пр-кт Кулакова, д.33А</t>
  </si>
  <si>
    <t>г. Курск, пр-кт Кулакова, д.35 корп.А1</t>
  </si>
  <si>
    <t>г. Курск, пр-кт Кулакова, д.35 корп.А3</t>
  </si>
  <si>
    <t>г. Курск, пр-кт Кулакова, д.35-А/2</t>
  </si>
  <si>
    <t>г. Курск, пр-кт Кулакова, д.39А</t>
  </si>
  <si>
    <t>г. Курск, пр-кт Кулакова, д.39Б</t>
  </si>
  <si>
    <t>г. Курск, пр-кт Ленинского Комсомола, д.52</t>
  </si>
  <si>
    <t>г. Курск, пр-кт Ленинского Комсомола, д.54</t>
  </si>
  <si>
    <t>г. Курск, пр-кт Ленинского Комсомола, д.87</t>
  </si>
  <si>
    <t>г. Курск, пр-кт Ленинского Комсомола, д.89</t>
  </si>
  <si>
    <t>г. Курск, пр-кт Ленинского Комсомола, д.99</t>
  </si>
  <si>
    <t>г. Курск, пр-кт Энтузиастов, д.3</t>
  </si>
  <si>
    <t>г. Курск, пр-кт Энтузиастов, д.5</t>
  </si>
  <si>
    <t>г. Курск, пр-кт Энтузиастов, д.8</t>
  </si>
  <si>
    <t>г. Курск, ул. 50 лет Октября, д.147</t>
  </si>
  <si>
    <t>г. Курск, ул. 50 лет Октября, д.3</t>
  </si>
  <si>
    <t>г. Курск, ул. 50 лет Октября, д.4 корп.5</t>
  </si>
  <si>
    <t>г. Курск, ул. 50 лет Октября, д.4 корп.7</t>
  </si>
  <si>
    <t>г. Курск, ул. Белгородская, д.22</t>
  </si>
  <si>
    <t>г. Курск, ул. Блинова, д.14/17</t>
  </si>
  <si>
    <t>г. Курск, ул. Бочарова, д.6</t>
  </si>
  <si>
    <t>г. Курск, ул. Володарского, д.4 корп.2</t>
  </si>
  <si>
    <t>г. Курск, ул. Гагарина, д.14А</t>
  </si>
  <si>
    <t>г. Курск, ул. Гагарина, д.4</t>
  </si>
  <si>
    <t>г. Курск, ул. Гайдара, д.4</t>
  </si>
  <si>
    <t>г. Курск, ул. Гоголя, д.18</t>
  </si>
  <si>
    <t>г. Курск, ул. Гоголя, д.25</t>
  </si>
  <si>
    <t>г. Курск, ул. Дейнеки, д.16</t>
  </si>
  <si>
    <t>г. Курск, ул. Дейнеки, д.18А</t>
  </si>
  <si>
    <t>г. Курск, ул. Дейнеки, д.30</t>
  </si>
  <si>
    <t>г. Курск, ул. Дейнеки, д.32</t>
  </si>
  <si>
    <t>г. Курск, ул. Дейнеки, д.32А</t>
  </si>
  <si>
    <t>г. Курск, ул. Дейнеки, д.34</t>
  </si>
  <si>
    <t>г. Курск, ул. Дейнеки, д.34А</t>
  </si>
  <si>
    <t>г. Курск, ул. Дзержинского, д.64/2</t>
  </si>
  <si>
    <t>г. Курск, ул. Димитрова, д.9</t>
  </si>
  <si>
    <t>г. Курск, ул. Дубровинского, д.1</t>
  </si>
  <si>
    <t>г. Курск, ул. Дубровинского, д.3</t>
  </si>
  <si>
    <t>г. Курск, ул. Дубровинского, д.7</t>
  </si>
  <si>
    <t>г. Курск, ул. Дубровинского, д.9</t>
  </si>
  <si>
    <t>г. Курск, ул. Заводская, д.17</t>
  </si>
  <si>
    <t>г. Курск, ул. Заводская, д.19</t>
  </si>
  <si>
    <t>г. Курск, ул. Заводская, д.29А</t>
  </si>
  <si>
    <t>г. Курск, ул. Заводская, д.39</t>
  </si>
  <si>
    <t>г. Курск, ул. Заводская, д.39А</t>
  </si>
  <si>
    <t>г. Курск, ул. Заводская, д.39Б</t>
  </si>
  <si>
    <t>г. Курск, ул. Заводская, д.39В</t>
  </si>
  <si>
    <t>г. Курск, ул. Заводская, д.41</t>
  </si>
  <si>
    <t>г. Курск, ул. Заводская, д.41А</t>
  </si>
  <si>
    <t>г. Курск, ул. Заводская, д.41Б</t>
  </si>
  <si>
    <t>г. Курск, ул. Заводская, д.43</t>
  </si>
  <si>
    <t>г. Курск, ул. Заводская, д.45А</t>
  </si>
  <si>
    <t>г. Курск, ул. Заводская, д.49</t>
  </si>
  <si>
    <t>г. Курск, ул. Запольная, д.41А.</t>
  </si>
  <si>
    <t>г. Курск, ул. Интернациональная, д.45</t>
  </si>
  <si>
    <t>г. Курск, ул. Интернациональная, д.6А</t>
  </si>
  <si>
    <t>г. Курск, ул. Интернациональная, д.8А</t>
  </si>
  <si>
    <t>г. Курск, ул. Кавказская, д.39</t>
  </si>
  <si>
    <t>г. Курск, ул. Карла Маркса, д.61А</t>
  </si>
  <si>
    <t>г. Курск, ул. Карла Маркса, д.66/3</t>
  </si>
  <si>
    <t>г. Курск, ул. Карла Маркса, д.67/4</t>
  </si>
  <si>
    <t>г. Курск, ул. Карла Маркса, д.72/1</t>
  </si>
  <si>
    <t>г. Курск, ул. Карла Маркса, д.72/6</t>
  </si>
  <si>
    <t>г. Курск, ул. Карла Маркса, д.72/9</t>
  </si>
  <si>
    <t>г. Курск, ул. Кати Зеленко, д.6Г</t>
  </si>
  <si>
    <t>г. Курск, ул. Комарова, д.10</t>
  </si>
  <si>
    <t>г. Курск, ул. Комарова, д.10А</t>
  </si>
  <si>
    <t>г. Курск, ул. Комарова, д.13А</t>
  </si>
  <si>
    <t>г. Курск, ул. Комарова, д.13Б</t>
  </si>
  <si>
    <t>г. Курск, ул. Комарова, д.23</t>
  </si>
  <si>
    <t>г. Курск, ул. Комарова, д.25</t>
  </si>
  <si>
    <t>г. Курск, ул. Комарова, д.4</t>
  </si>
  <si>
    <t>г. Курск, ул. Комарова, д.6</t>
  </si>
  <si>
    <t>г. Курск, ул. Комарова, д.9</t>
  </si>
  <si>
    <t>г. Курск, ул. Конорева, д.12</t>
  </si>
  <si>
    <t>г. Курск, ул. Конорева, д.18</t>
  </si>
  <si>
    <t>г. Курск, ул. Конорева, д.4</t>
  </si>
  <si>
    <t>г. Курск, ул. Конорева, д.6</t>
  </si>
  <si>
    <t>г. Курск, ул. Косухина, д.13</t>
  </si>
  <si>
    <t>г. Курск, ул. Косухина, д.31</t>
  </si>
  <si>
    <t>г. Курск, ул. Косухина, д.7</t>
  </si>
  <si>
    <t>г. Курск, ул. Краснознаменная, д.20Б</t>
  </si>
  <si>
    <t>г. Курск, ул. Краснознаменная, д.20В</t>
  </si>
  <si>
    <t>г. Курск, ул. Краснознаменная, д.9А</t>
  </si>
  <si>
    <t>г. Курск, ул. Краснополянская, д.41</t>
  </si>
  <si>
    <t>г. Курск, ул. Крюкова, д.10</t>
  </si>
  <si>
    <t>г. Курск, ул. Крюкова, д.16А</t>
  </si>
  <si>
    <t>г. Курск, ул. Л.Толстого, д.8</t>
  </si>
  <si>
    <t>г. Курск, ул. Ленина, д.64</t>
  </si>
  <si>
    <t>г. Курск, ул. Ленина, д.94</t>
  </si>
  <si>
    <t>г. Курск, ул. Ленина, д.99А</t>
  </si>
  <si>
    <t>г. Курск, ул. Ленина, д.99Б</t>
  </si>
  <si>
    <t>г. Курск, ул. Ломакина, д.9</t>
  </si>
  <si>
    <t>г. Курск, ул. Малышева, д.2 корп.23</t>
  </si>
  <si>
    <t>г. Курск, ул. Менделеева, д.16</t>
  </si>
  <si>
    <t>г. Курск, ул. Менделеева, д.33А</t>
  </si>
  <si>
    <t>г. Курск, ул. Менделеева, д.35</t>
  </si>
  <si>
    <t>г. Курск, ул. Менделеева, д.39</t>
  </si>
  <si>
    <t>г. Курск, ул. Менделеева, д.45</t>
  </si>
  <si>
    <t>г. Курск, ул. Менделеева, д.55</t>
  </si>
  <si>
    <t>г. Курск, ул. Менделеева, д.65</t>
  </si>
  <si>
    <t>г. Курск, ул. Мирная, д.19А</t>
  </si>
  <si>
    <t>г. Курск, ул. Мирная, д.19Б</t>
  </si>
  <si>
    <t>г. Курск, ул. Моковская, д.38</t>
  </si>
  <si>
    <t>г. Курск, ул. Никитская, д.10</t>
  </si>
  <si>
    <t>г. Курск, ул. Обоянская, д.13А</t>
  </si>
  <si>
    <t>г. Курск, ул. Обоянская, д.19</t>
  </si>
  <si>
    <t>г. Курск, ул. Обоянская, д.46</t>
  </si>
  <si>
    <t>г. Курск, ул. Октябрьская, д.29</t>
  </si>
  <si>
    <t>г. Курск, ул. Ольшанского, д.15</t>
  </si>
  <si>
    <t>г. Курск, ул. Ольшанского, д.18</t>
  </si>
  <si>
    <t>г. Курск, ул. Ольшанского, д.20</t>
  </si>
  <si>
    <t>г. Курск, ул. Ольшанского, д.21А</t>
  </si>
  <si>
    <t>г. Курск, ул. Орловская, д.26</t>
  </si>
  <si>
    <t>г. Курск, ул. Орловская, д.32</t>
  </si>
  <si>
    <t>г. Курск, ул. Орловская, д.34</t>
  </si>
  <si>
    <t>г. Курск, ул. Парковая, д.12</t>
  </si>
  <si>
    <t>г. Курск, ул. Парковая, д.16</t>
  </si>
  <si>
    <t>г. Курск, ул. Парковая, д.6</t>
  </si>
  <si>
    <t>г. Курск, ул. Пигорева, д.8Б</t>
  </si>
  <si>
    <t>г. Курск, ул. Рабочая 2-я, д.1 корп.39</t>
  </si>
  <si>
    <t>г. Курск, ул. Радищева, д.40</t>
  </si>
  <si>
    <t>г. Курск, ул. Радищева, д.50</t>
  </si>
  <si>
    <t>г. Курск, ул. Радищева, д.66</t>
  </si>
  <si>
    <t>г. Курск, ул. Разина, д.20</t>
  </si>
  <si>
    <t>г. Курск, ул. Республиканская, д.10</t>
  </si>
  <si>
    <t>г. Курск, ул. Республиканская, д.22</t>
  </si>
  <si>
    <t>г. Курск, ул. Республиканская, д.34</t>
  </si>
  <si>
    <t>г. Курск, ул. Республиканская, д.44</t>
  </si>
  <si>
    <t>г. Курск, ул. Садовая, д.13</t>
  </si>
  <si>
    <t>г. Курск, ул. Семеновская, д.82А</t>
  </si>
  <si>
    <t>г. Курск, ул. Союзная, д.15</t>
  </si>
  <si>
    <t>г. Курск, ул. Союзная, д.25</t>
  </si>
  <si>
    <t>г. Курск, ул. Союзная, д.27</t>
  </si>
  <si>
    <t>г. Курск, ул. Союзная, д.29</t>
  </si>
  <si>
    <t>г. Курск, ул. Союзная, д.31</t>
  </si>
  <si>
    <t>г. Курск, ул. Союзная, д.51Б</t>
  </si>
  <si>
    <t>г. Курск, ул. Сумская, д.17</t>
  </si>
  <si>
    <t>г. Курск, ул. Сумская, д.19</t>
  </si>
  <si>
    <t>г. Курск, ул. Сумская, д.38</t>
  </si>
  <si>
    <t>г. Курск, ул. Сумская, д.40А</t>
  </si>
  <si>
    <t>г. Курск, ул. Сумская, д.48</t>
  </si>
  <si>
    <t>г. Курск, ул. Сумская, д.50А</t>
  </si>
  <si>
    <t>г. Курск, ул. Сумская, д.50Б</t>
  </si>
  <si>
    <t>г. Курск, ул. Сумская, д.52 корп.2</t>
  </si>
  <si>
    <t>г. Курск, ул. Халтурина, д.18/48</t>
  </si>
  <si>
    <t>г. Курск, ул. Харьковская, д.8/2</t>
  </si>
  <si>
    <t>г. Курск, ул. Хуторская, д.2 корп.12</t>
  </si>
  <si>
    <t>г. Курск, ул. Чернышевского, д.16</t>
  </si>
  <si>
    <t>г. Курск, ул. Чернышевского, д.8</t>
  </si>
  <si>
    <t>г. Курск, ул. Черняховского, д.18А</t>
  </si>
  <si>
    <t>г. Курск, ул. Черняховского, д.50</t>
  </si>
  <si>
    <t>г. Курск, ул. Черняховского, д.52</t>
  </si>
  <si>
    <t>г. Курск, ул. Черняховского, д.60</t>
  </si>
  <si>
    <t>г. Курск, ул. Черняховского, д.62</t>
  </si>
  <si>
    <t>г. Курск, ул. Школьная, д.5 корп.1</t>
  </si>
  <si>
    <t>г. Курск, ул. Энгельса, д.107</t>
  </si>
  <si>
    <t>г. Курск, ул. Энгельса, д.22</t>
  </si>
  <si>
    <t>г. Курск, ул. Энгельса, д.26/28</t>
  </si>
  <si>
    <t>г. Курск, ул. Энгельса, д.86</t>
  </si>
  <si>
    <t>г. Курск, ул. Энергетиков 4, д.29</t>
  </si>
  <si>
    <t>г. Курск, ул. Юности, д.38</t>
  </si>
  <si>
    <t>г. Курск, ул. Ямская, д.2</t>
  </si>
  <si>
    <t>п. Камыши, д.23</t>
  </si>
  <si>
    <t>г. Курчатов, ул. Ленинградская, д.17</t>
  </si>
  <si>
    <t>г. Курчатов, ул. Ленинградская, д.31</t>
  </si>
  <si>
    <t>г. Курчатов, ул. Ленинградская, д.37</t>
  </si>
  <si>
    <t>г. Курчатов, ул. Ленинградская, д.41</t>
  </si>
  <si>
    <t>г. Курчатов, ул. Ленинградская, д.45</t>
  </si>
  <si>
    <t>г. Курчатов, ул. Ленинградская, д.7</t>
  </si>
  <si>
    <t>п. Селекционный, ул. Советская, д.7</t>
  </si>
  <si>
    <t>с. Сейм, ул. Мира, д.4</t>
  </si>
  <si>
    <t>г. Обоянь, ул. Ленина, д.71</t>
  </si>
  <si>
    <t>г. Обоянь, ул. Луначарского, д.74</t>
  </si>
  <si>
    <t>г. Фатеж, ул. К.Маркса, д.15</t>
  </si>
  <si>
    <t>п. Черемисиново, ул. Почтовая, д.34</t>
  </si>
  <si>
    <t>г. Щигры, ул. Красная, д.33</t>
  </si>
  <si>
    <t>г. Щигры, ул. Красная, д.47</t>
  </si>
  <si>
    <t>г. Щигры, ул. Красная, д.8</t>
  </si>
  <si>
    <t>г. Щигры, ул. Маяковского, д.1</t>
  </si>
  <si>
    <t>г. Щигры, ул. Октябрьская, д.109</t>
  </si>
  <si>
    <t>г. Щигры, ул. Октябрьская, д.44</t>
  </si>
  <si>
    <t>2020 год</t>
  </si>
  <si>
    <t>2021 год</t>
  </si>
  <si>
    <t>Итого за 2020 год</t>
  </si>
  <si>
    <t>Итого за 2021 год</t>
  </si>
  <si>
    <t>2022 год</t>
  </si>
  <si>
    <t>Срок окончания капитального ремонта</t>
  </si>
  <si>
    <t>Источник финансирования работ по капитальному ремонту</t>
  </si>
  <si>
    <t>Государственная поддержка, в том числе</t>
  </si>
  <si>
    <t>Бюджет муниципального образования</t>
  </si>
  <si>
    <t>Областной бюджет</t>
  </si>
  <si>
    <t>квартал, год</t>
  </si>
  <si>
    <t>руб.</t>
  </si>
  <si>
    <t>Количество лифтов</t>
  </si>
  <si>
    <t>Итого за 2022 год</t>
  </si>
  <si>
    <t>1/-</t>
  </si>
  <si>
    <t>2/-</t>
  </si>
  <si>
    <t>12/-</t>
  </si>
  <si>
    <t>14/-</t>
  </si>
  <si>
    <t>15/-</t>
  </si>
  <si>
    <t>3/-</t>
  </si>
  <si>
    <t>9/-</t>
  </si>
  <si>
    <t>4/-</t>
  </si>
  <si>
    <t>5/-</t>
  </si>
  <si>
    <t>2/Х</t>
  </si>
  <si>
    <t>Количество этажей/-объект культур. наследия(-/-х)</t>
  </si>
  <si>
    <t>Общая стоимость капитального ремонта, рублей</t>
  </si>
  <si>
    <t>Средства собственников помещений</t>
  </si>
  <si>
    <t>г. Курск, ул. Гагарина, д.25А(п1)</t>
  </si>
  <si>
    <t>г. Курск, ул. Мирная, д.2 корп.61</t>
  </si>
  <si>
    <t xml:space="preserve">Виды работ (услуг) по капитальному ремонту, стоимость (рублей) </t>
  </si>
  <si>
    <t>г. Курск, ул. Союзная, д.71Б</t>
  </si>
  <si>
    <t>д. Ворошнево, ул. Сосновая, д.21</t>
  </si>
  <si>
    <t>п. Пристень, ул. Октябрьская, д.36</t>
  </si>
  <si>
    <t>г. Курск, ул. Энергетиков, д.11</t>
  </si>
  <si>
    <t>г. Курск, ул. Хуторская, д.12Б</t>
  </si>
  <si>
    <t>г. Курск, ул. Ленина, д.20</t>
  </si>
  <si>
    <t>г. Рыльск, ул. Р.Люксембург, д.93</t>
  </si>
  <si>
    <t>х. Звягин, ул. Новая, д.2</t>
  </si>
  <si>
    <t>с. Дроняево, д.5</t>
  </si>
  <si>
    <t>г. Железногорск, пер. Детский, д.5</t>
  </si>
  <si>
    <t>г. Железногорск, ул. Ленина, д.32 корп.1</t>
  </si>
  <si>
    <t>г. Железногорск, ул. Ленина, д.32 корп.2</t>
  </si>
  <si>
    <t>г. Железногорск, ул. Ленина, д.35</t>
  </si>
  <si>
    <t>г. Железногорск, ул. Ленина, д.48 корп.1</t>
  </si>
  <si>
    <t>г. Железногорск, ул. Ленина, д.50</t>
  </si>
  <si>
    <t>г. Железногорск, ул. Ленина, д.51</t>
  </si>
  <si>
    <t>г. Железногорск, ул. Обогатителей, д.10</t>
  </si>
  <si>
    <t>г. Железногорск, ул. Первомайская, д.3</t>
  </si>
  <si>
    <t>г. Железногорск, ул. Пионерская, д.5</t>
  </si>
  <si>
    <t>г. Железногорск, ул. Сентюрева, д.1 корп.3</t>
  </si>
  <si>
    <t>г. Курск, ул. Ленина, д.8</t>
  </si>
  <si>
    <t>г. Курск, пр-кт Дружбы, д.2</t>
  </si>
  <si>
    <t>г. Железногорск, ул. Курская, д.1 корп.1</t>
  </si>
  <si>
    <t>г. Железногорск, ул. Курская, д.3</t>
  </si>
  <si>
    <t>г. Железногорск, ул. 21 Партсъезда, д.5А</t>
  </si>
  <si>
    <t>г. Железногорск, ул. Ленина, д.42 корп.2</t>
  </si>
  <si>
    <t>г. Курск, ул. Радищева, д.13 корп.15</t>
  </si>
  <si>
    <t>г. Курск, ул. Радищева, д.55</t>
  </si>
  <si>
    <t>г. Курск, ул. Сумская, д.27</t>
  </si>
  <si>
    <t>г. Курск, ул. Ухтомского, д.7</t>
  </si>
  <si>
    <t>г. Курск, ул. Энгельса, д.136</t>
  </si>
  <si>
    <t>г. Курск, ул. Энгельса, д.138</t>
  </si>
  <si>
    <t>г. Курск, ул.Горького, д.17</t>
  </si>
  <si>
    <t>г. Обоянь, ул. Жукова, д.4</t>
  </si>
  <si>
    <t>г. Щигры, ул. Красная, д.24</t>
  </si>
  <si>
    <t>г. Курск, пр-кт Кулакова, д.25А</t>
  </si>
  <si>
    <t>г. Курск, ул. Гагарина, д.28</t>
  </si>
  <si>
    <t>г. Курск, ул. Краснополянская, д.39</t>
  </si>
  <si>
    <t>г. Курск, ул. Л.Толстого, д.10</t>
  </si>
  <si>
    <t>г. Рыльск, ул. Дзержинского, д.39</t>
  </si>
  <si>
    <t>г. Рыльск, ул. Р.Люксембург, д.91</t>
  </si>
  <si>
    <t>п. Горшечное, ул. Строительная, д.2</t>
  </si>
  <si>
    <t>г. Железногорск, ул. Курская, д.72</t>
  </si>
  <si>
    <t>г. Железногорск, ул. Мира, д.6</t>
  </si>
  <si>
    <t>п. Олымский, ул. Садовая, д.35</t>
  </si>
  <si>
    <t>п. Олымский, ул. Строителей, д.14</t>
  </si>
  <si>
    <t>г. Курск, пр-кт Кулакова, д.7</t>
  </si>
  <si>
    <t>г. Курск, ул. Краснополянская, д.3</t>
  </si>
  <si>
    <t>г. Курск, ул. Ленина, д.31</t>
  </si>
  <si>
    <t>г. Курск, ул. Парижской Коммуны, д.28 корп.5</t>
  </si>
  <si>
    <t>г. Курск, ул. Серегина, д.6</t>
  </si>
  <si>
    <t>г. Курск, ул. Чумаковская, д.1</t>
  </si>
  <si>
    <t>г. Курск, ул. Энергетиков, д.3</t>
  </si>
  <si>
    <t>п. Иванино, ул. Кирова, д.1А</t>
  </si>
  <si>
    <t>г. Рыльск, ул. Ворошилова, д.76</t>
  </si>
  <si>
    <t>г. Дмитриев, пр-кт Советских Космонавтов, д.17</t>
  </si>
  <si>
    <t>г. Железногорск, ул. Обогатителей, д.2</t>
  </si>
  <si>
    <t>г. Железногорск, ул. Сентюрева, д.2 корп.2</t>
  </si>
  <si>
    <t>г. Курск, ул. Карла Маркса, д.71Б</t>
  </si>
  <si>
    <t>г. Курск, ул. Маяковского, д.107</t>
  </si>
  <si>
    <t>г. Курск, ул. Никитская, д.4</t>
  </si>
  <si>
    <t>г. Курск, ул. Республиканская, д.50Б</t>
  </si>
  <si>
    <t>г. Курчатов, пр-кт Коммунистический, д.1</t>
  </si>
  <si>
    <t>д. Амосовка, д.11</t>
  </si>
  <si>
    <t>п. Марьино, ул. Сироткина, д.2</t>
  </si>
  <si>
    <t>п. Марьино, ул. Сироткина, д.5</t>
  </si>
  <si>
    <t>г. Курск, ул. Карла Маркса, д.66/5</t>
  </si>
  <si>
    <t>г. Курск, ул. Карла Маркса, д.67/2</t>
  </si>
  <si>
    <t>г. Курск, ул. Союзная, д.71В</t>
  </si>
  <si>
    <t>г. Курск, ул. Союзная, д.9</t>
  </si>
  <si>
    <t>г. Щигры, ул. Красная, д.43</t>
  </si>
  <si>
    <t>г. Щигры, ул. Луначарского, д.15</t>
  </si>
  <si>
    <t>г. Щигры, ул. Мира, д.26</t>
  </si>
  <si>
    <t>г. Щигры, ул. Новая Курская, д.24А</t>
  </si>
  <si>
    <t>г. Щигры, ул. Спортивная, д.5</t>
  </si>
  <si>
    <t>г. Щигры, ул. Лазарева, д.2</t>
  </si>
  <si>
    <t>г. Щигры, ул. Плеханова, д.17</t>
  </si>
  <si>
    <t>г. Курск, ул. Семеновская, д.21</t>
  </si>
  <si>
    <t>г. Курск, ул. Дзержинского, д.90</t>
  </si>
  <si>
    <t>5/х</t>
  </si>
  <si>
    <t>г. Курск, ул. Маяковского, д.93 корп.А4</t>
  </si>
  <si>
    <t>г. Курск, ул. Орловская, д.10</t>
  </si>
  <si>
    <t>г. Курск, ул. Песковская 3-я, д.25</t>
  </si>
  <si>
    <t>г. Курск, ул. Республиканская, д.50В</t>
  </si>
  <si>
    <t>г. Курск, ул. Серегина, д.18А</t>
  </si>
  <si>
    <t>г. Курск, ул. Серегина, д.30</t>
  </si>
  <si>
    <t>г. Курск, ул. Союзная, д.59А</t>
  </si>
  <si>
    <t>г. Рыльск, ул. Промышленная, д.6</t>
  </si>
  <si>
    <t>п. Кшенский, ул. Свердлова, д.1А</t>
  </si>
  <si>
    <t>п. Тим, ул. Максима Горького, д.14</t>
  </si>
  <si>
    <t>г. Курск, ул. Обоянская, д.42Б</t>
  </si>
  <si>
    <t>п. Маршала Жукова, кв-л 1-й, д.13 корп.1</t>
  </si>
  <si>
    <t>п. Маршала Жукова, кв-л 1-й, д.13 корп.2</t>
  </si>
  <si>
    <t>п. Маршала Жукова, кв-л 1-й, д.13 корп.3</t>
  </si>
  <si>
    <t>г. Курск, ул. Дубровинского, д.5А</t>
  </si>
  <si>
    <t>г. Курск, ул. Дейнеки, д.20</t>
  </si>
  <si>
    <t>г. Железногорск, ул. Ленина, д.48 корп.2</t>
  </si>
  <si>
    <t>г. Железногорск, ул. Ленина, д.40 корп.2</t>
  </si>
  <si>
    <t>г. Железногорск, ул. Л.Голенькова, д.23 корп.2</t>
  </si>
  <si>
    <t>г. Курск, ул. Энгельса, д.16</t>
  </si>
  <si>
    <t>г. Курск, ул. Союзная, д.61А</t>
  </si>
  <si>
    <t>г. Курск, ул. Союзная, д.57А</t>
  </si>
  <si>
    <t>г. Курск, ул. Пучковка, д.108А</t>
  </si>
  <si>
    <t>г. Курск, ул. Карла Маркса, д.61</t>
  </si>
  <si>
    <t>г. Курск, ул. Белгородская, д.23</t>
  </si>
  <si>
    <t>г. Курск, ул. Заводская, д.51</t>
  </si>
  <si>
    <t>г. Курск, ул. Заводская, д.53</t>
  </si>
  <si>
    <t>г. Курск, ул. Заводская, д.47</t>
  </si>
  <si>
    <t>г. Курск, ул. Заводская, д.45</t>
  </si>
  <si>
    <t>г. Курск, ул. Парковая, д.14</t>
  </si>
  <si>
    <t>г. Курск, ул. Комарова, д.15</t>
  </si>
  <si>
    <t>г. Железногорск, ул. Л.Голенькова, д.21</t>
  </si>
  <si>
    <t>г. Железногорск, ул. Л.Голенькова, д.23</t>
  </si>
  <si>
    <t>г. Железногорск, ул. Гагарина, д.18</t>
  </si>
  <si>
    <t>г. Железногорск, ул. Гайдара, д.6</t>
  </si>
  <si>
    <t>г. Железногорск, ул. Горняков, д.8</t>
  </si>
  <si>
    <t>г. Железногорск, ул. Димитрова, д.13</t>
  </si>
  <si>
    <t>г. Железногорск, ул. Ленина, д.43</t>
  </si>
  <si>
    <t>г. Железногорск, ул. Мира, д.18</t>
  </si>
  <si>
    <t>г. Железногорск, ул. Сентюрева, д.1 корп.2</t>
  </si>
  <si>
    <t>г. Железногорск, ул. Энтузиастов, д.4</t>
  </si>
  <si>
    <t>г. Железногорск, ул. Энтузиастов, д.5</t>
  </si>
  <si>
    <t>г. Курск, ул. Обоянская, д.14А</t>
  </si>
  <si>
    <t>г. Курск, ул. Ольшанского, д.11 корп.21</t>
  </si>
  <si>
    <t>г. Курск, пр-кт Дружбы, д.1А</t>
  </si>
  <si>
    <t>г. Курск, ул. Цюрупы, д.3</t>
  </si>
  <si>
    <t>г. Железногорск, ул. Курская, д.31</t>
  </si>
  <si>
    <t>г. Курск, ул. Комарова, д.1/31</t>
  </si>
  <si>
    <t>г. Курск, ул. Заводская, д.29Б</t>
  </si>
  <si>
    <t>г. Курск, ул. Обоянская, д.17</t>
  </si>
  <si>
    <t>г. Курск, ул. Парковая, д.3</t>
  </si>
  <si>
    <t>г. Курск, ул. Парковая, д.5</t>
  </si>
  <si>
    <t>г. Курск, ул. Парковая, д.7</t>
  </si>
  <si>
    <t>г. Курск, ул. 50 лет Октября, д.153</t>
  </si>
  <si>
    <t>г. Щигры, ул. Красная, д.41</t>
  </si>
  <si>
    <t>г. Курск, ул. Карла Маркса, д.66/16</t>
  </si>
  <si>
    <t>г. Курск, ул. Дейнеки, д.7 корп.1</t>
  </si>
  <si>
    <t>г. Курск, ул. Республиканская, д.52В</t>
  </si>
  <si>
    <t>г. Курск, ул. Заводская, д.15А</t>
  </si>
  <si>
    <t>г. Курск, ул. Заводская, д.19А</t>
  </si>
  <si>
    <t>г. Курск, ул. Димитрова, д.99</t>
  </si>
  <si>
    <t>4/х</t>
  </si>
  <si>
    <t xml:space="preserve">КРАТКОСРОЧНЫЙ ПЛАН </t>
  </si>
  <si>
    <t>г. Курск, ул. Республиканская, д.12</t>
  </si>
  <si>
    <t>г. Курск, ул. Союзная, д.5</t>
  </si>
  <si>
    <t>г. Курск, пр-кт Кулакова, д.25</t>
  </si>
  <si>
    <t>г. Курск, ул. Звездная, д.3</t>
  </si>
  <si>
    <t>г. Курск, ул. Радищева, д.71/1</t>
  </si>
  <si>
    <t>г. Курск, ул. Радищева, д.71/2</t>
  </si>
  <si>
    <t>г. Курск, ул. Республиканская, д.50Е</t>
  </si>
  <si>
    <t>г. Курск, ул. Серегина, д.25</t>
  </si>
  <si>
    <t>г. Курск, ул. Союзная, д.51</t>
  </si>
  <si>
    <t>г. Курск, ул. Энгельса, д.105</t>
  </si>
  <si>
    <t>г. Курчатов, ул. Набережная, д.2</t>
  </si>
  <si>
    <t>г. Курчатов, ул. Садовая, д.8</t>
  </si>
  <si>
    <t>г. Курчатов, ул. Набережная, д.5</t>
  </si>
  <si>
    <t>г. Курчатов, ул. Садовая, д.18</t>
  </si>
  <si>
    <t>г. Курчатов, ул. Садовая, д.16</t>
  </si>
  <si>
    <t>г. Курчатов, ул. Набережная, д.13</t>
  </si>
  <si>
    <t>г. Курчатов, ул. Садовая, д.24</t>
  </si>
  <si>
    <t>г. Курчатов, ул. Набережная, д.12</t>
  </si>
  <si>
    <t>г. Курчатов, ул. Садовая, д.12</t>
  </si>
  <si>
    <t>г. Курчатов, ул. Садовая, д.6</t>
  </si>
  <si>
    <t>г. Курчатов, ул. Садовая, д.29</t>
  </si>
  <si>
    <t>16/-</t>
  </si>
  <si>
    <t>п. Селекционный, ул. Центральная, д.2</t>
  </si>
  <si>
    <t>с. Верхнесмородино, ул. Гусливка, д.24</t>
  </si>
  <si>
    <t>п. Тим, ул. Ленина, д.50</t>
  </si>
  <si>
    <t>п. Тим, ул. Кирова, д.39А</t>
  </si>
  <si>
    <t>г. Курчатов, пр-кт Коммунистический, д.19</t>
  </si>
  <si>
    <t>г. Щигры, ул. Октябрьская, д.31</t>
  </si>
  <si>
    <t>п. Черемисиново, ул. Кооперативная, д.9</t>
  </si>
  <si>
    <t>п. Хомутовка, ул. Советская, д.10</t>
  </si>
  <si>
    <t>г. Курчатов, ул. Пионерская, д.3</t>
  </si>
  <si>
    <t>п. Горшечное, пер. Школьный, д.3</t>
  </si>
  <si>
    <t>п. Олымский, пер. Дачный, д.12</t>
  </si>
  <si>
    <t>г. Курск, ул. Крюкова, д.18</t>
  </si>
  <si>
    <t>г. Курск, ул. Семеновская, д.82</t>
  </si>
  <si>
    <t>г. Курск, ул. Союзная, д.63</t>
  </si>
  <si>
    <t>г. Курск, ул. Дейнеки, д.13</t>
  </si>
  <si>
    <t>г. Курск, ул. Серегина, д.13</t>
  </si>
  <si>
    <t>п. Селекционный, ул. Центральная, д.4</t>
  </si>
  <si>
    <t>с. Верхний Реутец, ул. Домики, д.28</t>
  </si>
  <si>
    <t>г. Курск, ул. Дзержинского, д.93</t>
  </si>
  <si>
    <t>г. Курск, ул. Дзержинского, д.86</t>
  </si>
  <si>
    <t>3/х</t>
  </si>
  <si>
    <t>г. Курск, пл. Привокзальная, д.2</t>
  </si>
  <si>
    <t>г. Курск, ул. Союзная, д.69Б</t>
  </si>
  <si>
    <t>г. Железногорск, ул. Ленина, д.33</t>
  </si>
  <si>
    <t>г. Дмитриев, ул. Комсомольская, д.17</t>
  </si>
  <si>
    <t>г. Железногорск, ул. Гагарина, д.14 корп.2</t>
  </si>
  <si>
    <t>г. Железногорск, ул. Маршала Жукова, д.2</t>
  </si>
  <si>
    <t>г. Железногорск, ул. Маршала Жукова, д.4</t>
  </si>
  <si>
    <t>г. Железногорск, ул. Мира, д.14 корп.4</t>
  </si>
  <si>
    <t>г. Железногорск, ул. Мира, д.18 корп.3</t>
  </si>
  <si>
    <t>г. Железногорск, ул. Мира, д.20 корп.4</t>
  </si>
  <si>
    <t>г. Железногорск, ул. Мира, д.8 корп.5</t>
  </si>
  <si>
    <t>г. Железногорск, ул. Сентюрева, д.1</t>
  </si>
  <si>
    <t>г. Железногорск, ул. Энтузиастов, д.2 корп.3</t>
  </si>
  <si>
    <t>10/-</t>
  </si>
  <si>
    <t>г. Курск, ул. Республиканская, д.4А</t>
  </si>
  <si>
    <t>г. Железногорск, ул. Энтузиастов, д.3 корп.2</t>
  </si>
  <si>
    <t>г. Курск, ул. Семеновская, д.79</t>
  </si>
  <si>
    <t>г. Курск, ул. Песковская 3-я, д.27</t>
  </si>
  <si>
    <t>г. Курск, ул. Пучковка, д.108В</t>
  </si>
  <si>
    <t>г. Курск, пр-кт Дружбы, д.4</t>
  </si>
  <si>
    <t>г. Курск, ул. Малышева, д.10</t>
  </si>
  <si>
    <t>г. Курск, ул. Союзная, д.14</t>
  </si>
  <si>
    <t>с. Калиновка, ул. Пионерская, д.4</t>
  </si>
  <si>
    <t>с. Калиновка, ул. Пионерская, д.6</t>
  </si>
  <si>
    <t>г. Курск, ул. Запольная, д.41(п.1,2,3)</t>
  </si>
  <si>
    <t>г. Курск, ул. Орловская, д.22</t>
  </si>
  <si>
    <t>г. Курск, пр-кт Ленинского Комсомола, д.50</t>
  </si>
  <si>
    <t>г. Курск, ул. Менделеева, д.36</t>
  </si>
  <si>
    <t>г. Курск, пр-кт Дружбы, д.1</t>
  </si>
  <si>
    <t>г. Курск, ул. Маяковского, д.109</t>
  </si>
  <si>
    <t>г. Курск, ул. Черняховского, д.14А</t>
  </si>
  <si>
    <t>г. Курск, ул. Менделеева, д.34</t>
  </si>
  <si>
    <t>г. Курск, ул. Агрегатная 2-я, д.43А</t>
  </si>
  <si>
    <t>г. Курск, ул. Заводская, д.27</t>
  </si>
  <si>
    <t>г. Курск, ул. Радищева, д.56</t>
  </si>
  <si>
    <t>п. Хомутовка, ул. Пионерская, д.8</t>
  </si>
  <si>
    <t>п. Хомутовка, ул. Советская, д.12</t>
  </si>
  <si>
    <t>п. Хомутовка, ул. Советская, д.6</t>
  </si>
  <si>
    <t>г. Курск, п. Аккумулятор, д.29</t>
  </si>
  <si>
    <t>г. Железногорск, ул. Ленина, д.40 корп.1</t>
  </si>
  <si>
    <t>г. Курск, ул. Народная, д.2А</t>
  </si>
  <si>
    <t>г. Курск, ул. Серегина, д.21</t>
  </si>
  <si>
    <t>г. Курск, ул. Серегина, д.43</t>
  </si>
  <si>
    <t>г. Курск, ул. Энергетиков, д.11А</t>
  </si>
  <si>
    <t>г. Курск, ул. Энергетиков, д.11Б</t>
  </si>
  <si>
    <t>г. Льгов, ул. К.Маркса, д.18</t>
  </si>
  <si>
    <t>г. Льгов, пл. Красная, д.4Б</t>
  </si>
  <si>
    <t>г. Льгов, ул. Титова, д.10</t>
  </si>
  <si>
    <t>г. Курск, ул. Межевая, д.5</t>
  </si>
  <si>
    <t>г. Курск, ул. Чернышевского, д.4</t>
  </si>
  <si>
    <t>г. Фатеж, ул. Тихая, д.36</t>
  </si>
  <si>
    <t>п. Солнцево, ул. Кирова, д.2</t>
  </si>
  <si>
    <t>п. Кшенский, ул. Заводская, д.1</t>
  </si>
  <si>
    <t>д. Волжанец, ул. Школьная, д. 12</t>
  </si>
  <si>
    <t>г. Рыльск, ул. Новая, д.7А</t>
  </si>
  <si>
    <t>г. Льгов, ул. К.Маркса, д.45</t>
  </si>
  <si>
    <t>г. Курск, ул. Ольшанского, д.8В</t>
  </si>
  <si>
    <t>г. Курск, ул. Павлова, д.6</t>
  </si>
  <si>
    <t>г. Курск, ул. Радищева, д.106</t>
  </si>
  <si>
    <t>г. Курск, ул. Садовая, д.42</t>
  </si>
  <si>
    <t>г. Железногорск, ул. Ленина, д.28 корп.1</t>
  </si>
  <si>
    <t>п. Горшечное, ул. Кирова, д.49</t>
  </si>
  <si>
    <t>г. Дмитриев, пр-кт Советских Космонавтов, д.21</t>
  </si>
  <si>
    <t>п. Новоандросово, ул. Восточный микрорайон, д.7</t>
  </si>
  <si>
    <t>с. Коренево, ул. Гигант, д.1</t>
  </si>
  <si>
    <t>г. Курск, ул. Ламоновская 1-я, д.3</t>
  </si>
  <si>
    <t>г. Курск, ул. Сумская, д.40Б</t>
  </si>
  <si>
    <t>г. Курск, ул. Серегина, д.18Б</t>
  </si>
  <si>
    <t>г. Курск, ул. Орловская, д.1А</t>
  </si>
  <si>
    <t>г. Курск, ул. Черняховского, д.27</t>
  </si>
  <si>
    <t>г. Курск, ул. Ламоновская 1-я, д.5</t>
  </si>
  <si>
    <t>г. Курск, ул. Черняховского, д.54</t>
  </si>
  <si>
    <t>п. Конышевка, ул. Титова, д.9</t>
  </si>
  <si>
    <t>п. Пристень, ул. Парковая, д.10</t>
  </si>
  <si>
    <t>г. Курск, ул. Веспремская, д.7</t>
  </si>
  <si>
    <t>г. Курск, ул. Черняховского, д.33</t>
  </si>
  <si>
    <t>п. Глушково, ул. Горького, д.30</t>
  </si>
  <si>
    <t>г. Курск, ул. Заводская, д.17А</t>
  </si>
  <si>
    <t>г. Курск, ул. Моковская, д.4 корп.1</t>
  </si>
  <si>
    <t>г. Курск, пер. Блинова, д.7</t>
  </si>
  <si>
    <t>г. Курск, ул. Республиканская, д.24Б</t>
  </si>
  <si>
    <t>г. Курск, ул. Дейнеки, д.28</t>
  </si>
  <si>
    <t>г. Курск, ул. Дейнеки, д.3</t>
  </si>
  <si>
    <t>г. Курск, ул. Ольшанского, д.16 корп.11</t>
  </si>
  <si>
    <t>г. Фатеж, ул. К.Маркса, д.19</t>
  </si>
  <si>
    <t>п. Новоандросово, ул. Восточный микрорайон, д.1/1</t>
  </si>
  <si>
    <t>п. Новоандросово, ул. Восточный микрорайон, д.1/2</t>
  </si>
  <si>
    <t>п. Новоандросово, ул. Восточный микрорайон, д.1/3</t>
  </si>
  <si>
    <t>п. Новоандросово, ул. Восточный микрорайон, д.2/1</t>
  </si>
  <si>
    <t>п. Новоандросово, ул. Восточный микрорайон, д.2/2</t>
  </si>
  <si>
    <t>п. Новоандросово, ул. Восточный микрорайон, д.3</t>
  </si>
  <si>
    <t>п. Новоандросово, ул. Восточный микрорайон, д.4</t>
  </si>
  <si>
    <t>п. Новоандросово, ул. Восточный микрорайон, д.6</t>
  </si>
  <si>
    <t>п. Новоандросово, ул. Восточный микрорайон, д.8</t>
  </si>
  <si>
    <t>г. Курск, пр-кт Хрущева, д.35</t>
  </si>
  <si>
    <t>г. Курск, ул. Большевиков, д.97</t>
  </si>
  <si>
    <t>г. Курск, ул. Заводская, д.67В</t>
  </si>
  <si>
    <t>г. Курск, ул. Малышева, д.8</t>
  </si>
  <si>
    <t>г. Курск, ул. Межевая, д.3</t>
  </si>
  <si>
    <t>г. Курск, ул. Ольшанского, д.8</t>
  </si>
  <si>
    <t>г. Курск, ул. Песковская 3-я, д.3</t>
  </si>
  <si>
    <t>г. Курск, ул. Пучковка, д.108Д</t>
  </si>
  <si>
    <t>г. Курск, ул. Семеновская, д.77</t>
  </si>
  <si>
    <t>г. Курск, ул. Серегина, д.4 корп.7</t>
  </si>
  <si>
    <t>г. Курск, ул. Черняховского, д.56</t>
  </si>
  <si>
    <t>п. Маршала Жукова, кв-л 3-й, д.3</t>
  </si>
  <si>
    <t>г. Фатеж, ул. Никитинская, д.35</t>
  </si>
  <si>
    <t>п. Хомутовка, ул. Пионерская, д.14</t>
  </si>
  <si>
    <t>г. Курск, ул. Союзная, д.14А</t>
  </si>
  <si>
    <t>г. Курск, ул. Никитская, д.12(п.1.2)</t>
  </si>
  <si>
    <t>г. Льгов, ул. Титова, д.12</t>
  </si>
  <si>
    <t>г. Льгов, пер. Садовый 1-й, д.3А</t>
  </si>
  <si>
    <t>г. Льгов, ул. М.Горького, д.86</t>
  </si>
  <si>
    <t>г. Курск, ул. Станционная, д.18</t>
  </si>
  <si>
    <t>г. Льгов, ул. Кирова, д.19 корп.16</t>
  </si>
  <si>
    <t>г. Льгов, ул. Куйбышева, д.26</t>
  </si>
  <si>
    <t>г. Льгов, ул. Примакова, д.95А</t>
  </si>
  <si>
    <t>г. Льгов, ул. Советская, д.38</t>
  </si>
  <si>
    <t>п. Кшенский, ул. Заводская, д.44</t>
  </si>
  <si>
    <t>п. Расховецкий, д.36</t>
  </si>
  <si>
    <t>г. Льгов, ул. К.Маркса, д.6/46</t>
  </si>
  <si>
    <t>г. Курск, ул. Менделеева, д.71А</t>
  </si>
  <si>
    <t>г. Курск, пр-кт Кулакова, д.5</t>
  </si>
  <si>
    <t>г. Курск, ул. Димитрова, д.93</t>
  </si>
  <si>
    <t>г. Курск, ул. Новоселовка 2-я, д.5</t>
  </si>
  <si>
    <t>г. Курск, ул. Энергетиков, д.1 корп.41</t>
  </si>
  <si>
    <t>г. Курск, ул. Заводская, д.83</t>
  </si>
  <si>
    <t>г. Обоянь, ул. Посадская, д.55В</t>
  </si>
  <si>
    <t>г. Фатеж, ул. Восточная, д.47</t>
  </si>
  <si>
    <t>г. Фатеж, ул. К.Маркса, д.60</t>
  </si>
  <si>
    <t>г. Курск, ул. 50 лет Октября, д.13</t>
  </si>
  <si>
    <t>г. Дмитриев, пр-кт Советских Космонавтов, д.11</t>
  </si>
  <si>
    <t>г. Курск, ул. Серегина, д.19</t>
  </si>
  <si>
    <t>г. Курск, ул. Сумская, д.37 корп.6</t>
  </si>
  <si>
    <t>г. Курск, ул. Карла Маркса, д.66/15</t>
  </si>
  <si>
    <t>г. Курск, ул. Школьная, д.5 корп.19</t>
  </si>
  <si>
    <t>г. Курск, пр-кт Ленинского Комсомола, д.79</t>
  </si>
  <si>
    <t>г. Курск, ул. Хуторская, д.10</t>
  </si>
  <si>
    <t>п. Касиновский, д.56</t>
  </si>
  <si>
    <t>п. Иванино, ул. Октябрьская, д.43</t>
  </si>
  <si>
    <t>п. Конышевка, ул. Татаринова, д.34</t>
  </si>
  <si>
    <t>п. Пристень, ул. Советская, д.61</t>
  </si>
  <si>
    <t>п. Теткино, тер. Сахарного з-да, д.30</t>
  </si>
  <si>
    <t>п. Теткино, ул. Белопольская, д.41</t>
  </si>
  <si>
    <t>п. Коренево, ул. им. Ленина, д.25</t>
  </si>
  <si>
    <t>п. Коренево, ул. им. Осипенко, д.6</t>
  </si>
  <si>
    <t>п. Новоандросово, ул. Восточный микрорайон, д.5</t>
  </si>
  <si>
    <t>г. Курск, пр-д. Мирный, д.5</t>
  </si>
  <si>
    <t>г. Курск, пр-д. Светлый, д.3</t>
  </si>
  <si>
    <t>п. им. Карла Либкнехта, ул. Кирова, д.24</t>
  </si>
  <si>
    <t>г. Курск, пр-д. Магистральный 18-й, д.30</t>
  </si>
  <si>
    <t>г. Курск, пр-д. Магистральный 18-й, д.31</t>
  </si>
  <si>
    <t>г. Железногорск, пр-д. Заводской, д.9 корп.3</t>
  </si>
  <si>
    <t>г. Курск, пр-д. Сергеева, д.8</t>
  </si>
  <si>
    <t>г. Курск, пр-д. Магистральный, д.5</t>
  </si>
  <si>
    <t>г. Курск, пр-д. Магистральный, д.8</t>
  </si>
  <si>
    <t>п. им. Карла Либкнехта, ул. Кирова, д.26</t>
  </si>
  <si>
    <t>г. Курск, пр-д. Магистральный, д.16В</t>
  </si>
  <si>
    <t>г. Курск, пр-д. Магистральный, д.24Б</t>
  </si>
  <si>
    <t>Код МКД в ГИС-ЖКХ</t>
  </si>
  <si>
    <t>913323A5-794A-47F8-88E4-1E96D44E95F7</t>
  </si>
  <si>
    <t>35C22281-1D7C-421C-86E9-8369E04622DC</t>
  </si>
  <si>
    <t>32E73DFE-FE00-4904-A1BB-C86FC93D331B</t>
  </si>
  <si>
    <t>349DC4F4-AF59-415E-A6DF-1E84CD664F31</t>
  </si>
  <si>
    <t>5DA14931-27BF-4880-9370-C32B8A4C9AC3</t>
  </si>
  <si>
    <t>9D2975C2-B043-4AD8-A3FF-073DFD9E69ED</t>
  </si>
  <si>
    <t>5FEE74C0-FF7A-4F1E-A3B8-DFAE96D32E40</t>
  </si>
  <si>
    <t>49B4D00F-385E-471C-A598-E54C9BE41A70</t>
  </si>
  <si>
    <t>69E11183-2F00-47A6-B31A-ADD79303FEFC</t>
  </si>
  <si>
    <t>D87B34DC-2CF5-4E32-9BDB-FBB4BA12EF8F</t>
  </si>
  <si>
    <t>50231077-FB0D-4C1D-9FC6-A6867A3E9465</t>
  </si>
  <si>
    <t>CEF4C870-7AA6-4FE7-AA69-93A20BF1A735</t>
  </si>
  <si>
    <t>2098925C-0A47-4473-87D7-C46CC6FBFA7B</t>
  </si>
  <si>
    <t>5D7A9B87-A8BC-4994-872F-65EDA42F8043</t>
  </si>
  <si>
    <t>ED6B3593-3E96-4D11-BD81-00F36689E920</t>
  </si>
  <si>
    <t>41C2BAC4-1E7C-4E3B-B90E-31BE6054A63D</t>
  </si>
  <si>
    <t>8C28CDDC-DBAB-463B-ADB9-8F88FEDD68DC</t>
  </si>
  <si>
    <t>394768AB-F43E-405D-8538-738C1B06722C</t>
  </si>
  <si>
    <t>EF0CB9BC-4CC8-4ED0-B971-1EA3325F9AB3</t>
  </si>
  <si>
    <t>C540D427-E7A0-409C-BC03-ADD04257520F</t>
  </si>
  <si>
    <t>E1DF73C4-B290-4A0F-82D9-EF839A8BA91C</t>
  </si>
  <si>
    <t>7F5F2680-856B-434F-833A-F6D0F05B52F9</t>
  </si>
  <si>
    <t>FC38E8B8-C8F1-44A9-B549-06FBA5B53943</t>
  </si>
  <si>
    <t>666EDB8F-E4DA-40FE-AAF4-BC0721FFC94F</t>
  </si>
  <si>
    <t>F2F4575D-3ADF-4A0C-BC19-D5FA91D48BBB</t>
  </si>
  <si>
    <t>91F7525C-7993-4E54-B708-FBD60F406743</t>
  </si>
  <si>
    <t>6EF105F7-D013-4D1C-BB7D-FC761EF26896</t>
  </si>
  <si>
    <t>A93E2B51-D911-4BA0-84EA-9C5ED8AF8FEF</t>
  </si>
  <si>
    <t>AFEB6078-EBCE-44CB-A1B1-6C868B642364</t>
  </si>
  <si>
    <t>842B3D88-B41A-4B7C-89B8-C47F6E151EB8</t>
  </si>
  <si>
    <t>E348B9B0-4F6F-4C2B-B1F1-7540F8E431DA</t>
  </si>
  <si>
    <t>10E9D7F7-E571-4F3A-832A-2C7614125476</t>
  </si>
  <si>
    <t>7E8BF4A5-BC8B-45DC-BF5D-6FF162AACE99</t>
  </si>
  <si>
    <t>678E2126-C1A4-4938-9F3A-BD764409CF00</t>
  </si>
  <si>
    <t>733BFD61-57FF-4B77-AD9D-FDE684F82125</t>
  </si>
  <si>
    <t>3D579AA0-C7C7-4CAC-B7A7-DEFF7E1DDB99</t>
  </si>
  <si>
    <t>F69797F0-8560-4366-B6DF-B60578C37DC6</t>
  </si>
  <si>
    <t>8617F164-7C92-4729-9124-932614F3AE4B</t>
  </si>
  <si>
    <t>FC13BA26-2B55-4DE4-BEFB-9FED1911CFBA</t>
  </si>
  <si>
    <t>D800E8D9-84C2-4644-A127-BEF809F53B62</t>
  </si>
  <si>
    <t>88BF1BAD-AE3C-46C8-9D97-5042A7AF6517</t>
  </si>
  <si>
    <t>8D0E7452-3201-4D0F-8BF9-7DAF8534AB0C</t>
  </si>
  <si>
    <t>C46C360C-C131-4FF0-ACFF-09929E118902</t>
  </si>
  <si>
    <t>F4F1AECA-733E-4C24-8854-74AEBC023D81</t>
  </si>
  <si>
    <t>6060F11E-6D83-423D-BB1C-478A297817B2</t>
  </si>
  <si>
    <t>EDB24C09-EC2F-460B-ABAF-A8E112DCD20D</t>
  </si>
  <si>
    <t>81159596-70DE-42E3-A7E7-4757470E3243</t>
  </si>
  <si>
    <t>427E6D2C-23C9-412C-9450-42FB88D77AD4</t>
  </si>
  <si>
    <t>5D8F53F1-8F33-41A5-B552-86507CF1F929</t>
  </si>
  <si>
    <t>0D87AAB5-3AA6-49CC-933F-A2F8BAE5374D</t>
  </si>
  <si>
    <t>7DDBF281-DC94-4C9C-A462-D30D6B3C08E5</t>
  </si>
  <si>
    <t>808CF853-F9E5-41AB-BADC-C44245C0FA7F</t>
  </si>
  <si>
    <t>DA13786F-6AFD-4F45-9F94-ED5656D53392</t>
  </si>
  <si>
    <t>FCC6E99F-D5DE-4DE6-B335-AF1A0006ADA0</t>
  </si>
  <si>
    <t>431B8EE8-36A0-4045-BF48-FEEC1FA6D31F</t>
  </si>
  <si>
    <t>568E2E81-47FA-4FAB-82E9-69E0EC5F4154</t>
  </si>
  <si>
    <t>80A13E4C-8EBE-4DF1-82F5-ED155D8B59D5</t>
  </si>
  <si>
    <t>88ECFC5A-EF8B-4056-8B5A-DFB4BF2F66E0</t>
  </si>
  <si>
    <t>E08460BF-1A77-45B2-8C6C-6D035200705E</t>
  </si>
  <si>
    <t>EC1D32E9-BE28-441D-A668-9C4D05E12E8B</t>
  </si>
  <si>
    <t>21E270DB-98EC-4C1B-8CAF-AB4E8CFF3EB0</t>
  </si>
  <si>
    <t>795A19DB-6224-4AAE-90DF-1C5DCE679CE8</t>
  </si>
  <si>
    <t>47EABF4B-5121-40DB-931A-6DBF7710A8F7</t>
  </si>
  <si>
    <t>40D6304A-7F1E-487E-A50A-95413DC111A4</t>
  </si>
  <si>
    <t>CE273E65-4CB2-4CF7-AA69-E7249801C9BD</t>
  </si>
  <si>
    <t>AE520FD3-8B20-4B4B-BE32-5EA4595BC642</t>
  </si>
  <si>
    <t>2D8B177A-8BF4-4617-A651-AB82BB3A4D81</t>
  </si>
  <si>
    <t>0DEA453E-4986-469E-BD6D-E5F06E40E1FA</t>
  </si>
  <si>
    <t>61803BDE-8589-48DF-94A7-F461949473C4</t>
  </si>
  <si>
    <t>FCB574A2-DC53-4574-B324-856C02FBBD0E</t>
  </si>
  <si>
    <t>A477B6BB-392C-4F02-945E-1C7E72658CF0</t>
  </si>
  <si>
    <t>910CD3C2-CF90-4DCF-9BAC-9019DF5CE0B7</t>
  </si>
  <si>
    <t>7211C6BE-3FE5-43B2-BBFB-3724F5CA117B</t>
  </si>
  <si>
    <t>0C72D45E-B07B-4711-AA50-643F78AAA051</t>
  </si>
  <si>
    <t>FF85C9D0-84FD-4AB0-BEFA-B031FFD2C3A1</t>
  </si>
  <si>
    <t>2733A559-1B6D-4F0B-9589-2D78A3A43DE7</t>
  </si>
  <si>
    <t>5353D519-4691-47B0-90F2-2D0A242F4598</t>
  </si>
  <si>
    <t>E5B926FD-3E56-4317-9E5D-124B28BD31AD</t>
  </si>
  <si>
    <t>18C784B2-5DB4-497D-8345-A120F366CD8C</t>
  </si>
  <si>
    <t>54A37F26-5B90-4B90-980C-31EC418E1CA4</t>
  </si>
  <si>
    <t>8DC5F46A-1DEF-423B-9C4F-A97821F2F035</t>
  </si>
  <si>
    <t>A37306C4-2679-47F7-87E6-FD33BE20D35A</t>
  </si>
  <si>
    <t>BDE46A79-F6F6-4A04-B546-E936601C256F</t>
  </si>
  <si>
    <t>C2853EAB-5C4E-4FBB-BA57-9605A1E0F5CC</t>
  </si>
  <si>
    <t>EB67FA0D-6759-406B-9C1A-B8562DF737B9</t>
  </si>
  <si>
    <t>B3C82630-C009-4F01-B2BC-49CFA57313E1</t>
  </si>
  <si>
    <t>F7FF3066-7FB2-4398-A5F3-165DA1AF7D3E</t>
  </si>
  <si>
    <t>44A4D78E-991D-4F86-BD4A-6A0F43C857A3</t>
  </si>
  <si>
    <t>AEE42DED-EBAD-4072-89E9-39FEA8C38BC6</t>
  </si>
  <si>
    <t>D116F099-533D-425D-9474-D2C54609265A</t>
  </si>
  <si>
    <t>EAE10C04-2211-4474-BD66-010B281BAA3D</t>
  </si>
  <si>
    <t>07B3466F-1D50-40C5-8107-84E38100475E</t>
  </si>
  <si>
    <t>A5C48C15-8F83-4BFA-8E52-F7DF6A5B1384</t>
  </si>
  <si>
    <t>1429DF96-9842-4F4D-8A1A-5FE6C4F24676</t>
  </si>
  <si>
    <t>9033E23A-519E-428B-AE53-71C14C9FE939</t>
  </si>
  <si>
    <t>7219A9E8-693E-42B1-A23E-518CCDA5F84A</t>
  </si>
  <si>
    <t>2770B7A2-A4A8-41FE-AA47-7764A13E9EF7</t>
  </si>
  <si>
    <t>7FC637C5-0F40-41EB-A9E5-4C9D25F5525C</t>
  </si>
  <si>
    <t>A815B06C-9BE2-43AA-B04F-4CFEB7BB34A0</t>
  </si>
  <si>
    <t>3DEC7247-C13C-4BC8-A951-DE60C779DBF9</t>
  </si>
  <si>
    <t>B6D199B1-18A5-4BCF-ADDB-2CD8875AEE5D</t>
  </si>
  <si>
    <t>041D404F-AA02-4786-A63C-984CE83D5870</t>
  </si>
  <si>
    <t>DA46E4D6-6933-49C9-BE55-1391C369E2B2</t>
  </si>
  <si>
    <t>E7AE6CB6-26EA-4BED-8190-3A780FC0EF03</t>
  </si>
  <si>
    <t>C3B8690B-7EF1-4CB9-AA85-95A619E15C30</t>
  </si>
  <si>
    <t>ACC8259A-958B-464C-B5EA-A70D3DA06B1F</t>
  </si>
  <si>
    <t>E03F7983-3CC7-422D-B1AE-AEB505141FD7</t>
  </si>
  <si>
    <t>EDE68267-7DE8-4736-99F8-BAE6904154AD</t>
  </si>
  <si>
    <t>AF3B8D07-5C09-4322-83EE-9D8E44BA4725</t>
  </si>
  <si>
    <t>04F87013-589C-49D0-AEA8-2D3CE96770B3</t>
  </si>
  <si>
    <t>8FEDDA90-D9CE-4CBE-A64A-6112B8518049</t>
  </si>
  <si>
    <t>6DC20945-EB15-44D6-ABAB-FD3E3D653298</t>
  </si>
  <si>
    <t>CCF0B2FD-6D15-4905-801A-8AB3342A25EC</t>
  </si>
  <si>
    <t>DD2E0979-46D2-4EF3-ABEA-45E145200391</t>
  </si>
  <si>
    <t>482440DB-A2DB-49CB-B6E7-FAC6085CAAE1</t>
  </si>
  <si>
    <t>226BA9E4-1344-4DFE-BCB5-742980A36051</t>
  </si>
  <si>
    <t>47837691-3834-43EE-815A-294239EB4F43</t>
  </si>
  <si>
    <t>3A5F32A2-24B2-489B-8ABD-77BE8260ABC2</t>
  </si>
  <si>
    <t>C048A5F2-3EC7-4BB4-99E0-01CC3F6DD15A</t>
  </si>
  <si>
    <t>61808F94-47E4-4E8F-96DD-E227071AB11E</t>
  </si>
  <si>
    <t>7A059840-E400-438A-9742-97FA0F5C0757</t>
  </si>
  <si>
    <t>34598C38-F57E-42F6-AFB8-89C7DC2789EA</t>
  </si>
  <si>
    <t>3F7521E1-3397-446F-957C-7DC02CA4582C</t>
  </si>
  <si>
    <t>B3BA12B2-9693-408C-A2DF-4B51F1BFFC03</t>
  </si>
  <si>
    <t>87C8E44F-6203-4505-A398-A1F6508DB29B</t>
  </si>
  <si>
    <t>8943B21E-A48D-4931-B343-29A4752CFE99</t>
  </si>
  <si>
    <t>5647CCC6-0C41-4FDB-949D-685203200881</t>
  </si>
  <si>
    <t>4F838DFB-539A-46AD-96EC-9757B1115AE2</t>
  </si>
  <si>
    <t>B273CACC-41DC-4110-9751-A6688F2346F6</t>
  </si>
  <si>
    <t>4A00A432-6B1C-4E68-B271-20225AFDA4C9</t>
  </si>
  <si>
    <t>1399C63C-1B29-43A5-805A-C60E59C008AF</t>
  </si>
  <si>
    <t>CBA2F1CF-040F-4167-AD7F-945A34ABD25E</t>
  </si>
  <si>
    <t>006CD029-B2C3-4ECB-B2DB-B4B594ADC695</t>
  </si>
  <si>
    <t>ACC190BF-6D27-4A76-800F-9BD13BE44443</t>
  </si>
  <si>
    <t>77ED79BD-B8E8-48E3-93EB-C69C52B19C86</t>
  </si>
  <si>
    <t>2A0AF43D-6021-45B9-9C78-249EA75AEB9C</t>
  </si>
  <si>
    <t>E688243E-A8E0-44EC-96F0-5676E50B6985</t>
  </si>
  <si>
    <t>B81CE238-0850-40B2-A5C1-BF8D677B3A6B</t>
  </si>
  <si>
    <t>9C708E15-83BC-49DA-81BA-08A30D24FE39</t>
  </si>
  <si>
    <t>8F480BB4-8E59-4AD7-ACFD-C9303833DB64</t>
  </si>
  <si>
    <t>AF6B6D74-D9A3-49F0-90E4-EC6F277AF872</t>
  </si>
  <si>
    <t>7DD67D75-397A-4136-A058-5477C76C8BDA</t>
  </si>
  <si>
    <t>0080B46A-CEF2-4AB9-B452-F69AA1351121</t>
  </si>
  <si>
    <t>3845CC99-F72B-40AE-A9FC-4C4B62060A80</t>
  </si>
  <si>
    <t>BFEAA127-AA92-4A95-B132-449518E7ED4A</t>
  </si>
  <si>
    <t>8C3F9373-D9EC-4081-82DB-43368BFEEBC9</t>
  </si>
  <si>
    <t>5A20935B-CFB8-4170-BEE2-24779051A7D3</t>
  </si>
  <si>
    <t>587FF4B1-3F85-42DB-85EB-9F1551920434</t>
  </si>
  <si>
    <t>F0D91F7C-5690-44B3-BD68-5B3C8BF74868</t>
  </si>
  <si>
    <t>AFB5A60A-0480-4378-93E2-FDE2575BDAAC</t>
  </si>
  <si>
    <t>AE7C8D6F-33C1-4CEF-8BF6-DD9B7FC95B3A</t>
  </si>
  <si>
    <t>863DBC70-23EC-400D-9E2F-5DB4804B998C</t>
  </si>
  <si>
    <t>C70D8BB5-DED0-45AC-8C7C-3130EB596800</t>
  </si>
  <si>
    <t>68CA298A-FFE7-4F08-98AF-2C28E89E4052</t>
  </si>
  <si>
    <t>7827CFBE-488A-4A13-9DCF-2D06650B8E4A</t>
  </si>
  <si>
    <t>F92F5E63-7AB1-4439-9FB6-58C2B1665968</t>
  </si>
  <si>
    <t>5E4CE5E5-A336-41C6-9F47-78EA617E52CE</t>
  </si>
  <si>
    <t>DD618070-BB81-4C17-A6B2-F5DF4F0D48E1</t>
  </si>
  <si>
    <t>DFE12840-CA30-4800-ABCD-AC3C484CDFF2</t>
  </si>
  <si>
    <t>DA7738A0-A6EA-461C-B957-93456ED60B42</t>
  </si>
  <si>
    <t>EB973108-A6D9-454D-9D07-4EA265FCD6AF</t>
  </si>
  <si>
    <t>12B0BE5B-03ED-40A3-B526-ED500D747761</t>
  </si>
  <si>
    <t>79DEEFF9-5C0D-4B07-AFA8-33597C2E3430</t>
  </si>
  <si>
    <t>D26F5880-C047-4160-ABAC-1D8068A66F57</t>
  </si>
  <si>
    <t>55EBCE3D-BCE5-48E6-A119-3053B1AD0A1D</t>
  </si>
  <si>
    <t>0AC46853-4F3C-4C50-984F-D9241B843C0C</t>
  </si>
  <si>
    <t>1EC3B3CB-7167-421A-A6C9-BA50EBFA0DC4</t>
  </si>
  <si>
    <t>25738D7A-B057-4AFF-BC6A-45EDD5B2F9F4</t>
  </si>
  <si>
    <t>F7B85809-6E19-429B-BE8F-A4D29C3AD38D</t>
  </si>
  <si>
    <t>0DABA372-CDD8-4018-AF74-AADD35F0F11C</t>
  </si>
  <si>
    <t>BBCBE797-6D4C-413C-8535-3796374FF189</t>
  </si>
  <si>
    <t>43CFDB33-9BC4-4E83-8B68-F6453B62F30B</t>
  </si>
  <si>
    <t>C77EF707-DEB4-444C-A04D-AA1E1271AE79</t>
  </si>
  <si>
    <t>423759B5-C695-4B71-889C-E1C32C842F1B</t>
  </si>
  <si>
    <t>006EF321-FE8D-4DDC-BEB8-131C03F2984F</t>
  </si>
  <si>
    <t>F1835802-2B8F-4BD1-8364-BFD0BAB17C62</t>
  </si>
  <si>
    <t>26C8A765-B56A-45E5-8D28-961F97956BC3</t>
  </si>
  <si>
    <t>7FF89F2B-9825-4449-9EF2-2A6D1D0B09B4</t>
  </si>
  <si>
    <t>23512E38-7579-4228-A1B6-3A745713F385</t>
  </si>
  <si>
    <t>B48BEFB6-C7D0-4143-AD44-B96EECFF8A37</t>
  </si>
  <si>
    <t>CCC7A469-91DB-43CA-A19C-EC133AFE5CE2</t>
  </si>
  <si>
    <t>85999874-DE53-444F-8210-28AA49BE4424</t>
  </si>
  <si>
    <t>4F861258-F35A-40A8-B8CB-264FC783959C</t>
  </si>
  <si>
    <t>BF190420-2946-46A4-91BB-DC9A601D4DF8</t>
  </si>
  <si>
    <t>A91D4FB0-E94A-4E2C-A853-79F1785A3994</t>
  </si>
  <si>
    <t>40045DAF-1843-4B27-9916-E75BA3825054</t>
  </si>
  <si>
    <t>5FABFCB4-6DC6-403A-84AC-DB04C02BB538</t>
  </si>
  <si>
    <t>75FD5A03-E00A-4B80-B20F-2629FF5F6EDE</t>
  </si>
  <si>
    <t>21015874-3EA0-4932-BD70-44DF4D8ACC35</t>
  </si>
  <si>
    <t>EA9ABF62-5CD2-4F16-BE6A-23B3D08D7434</t>
  </si>
  <si>
    <t>4307A8D9-6403-4A9C-80A2-FD2ED470F8B6</t>
  </si>
  <si>
    <t>CDFC9821-C622-4EB1-8865-BE0B73217362</t>
  </si>
  <si>
    <t>EE2FC95E-528B-41B5-AB3D-8FCC49AF3EB7</t>
  </si>
  <si>
    <t>2ABCFC02-754E-4DCA-9347-5C4FC640B3FA</t>
  </si>
  <si>
    <t>0D1C2A86-6F10-4567-8B89-90A12BD67A4B</t>
  </si>
  <si>
    <t>92F984FD-3036-4019-9507-F591DC86B32F</t>
  </si>
  <si>
    <t>4DE28E99-B0FE-4279-9689-46E8BC26CE27</t>
  </si>
  <si>
    <t>C0C069CD-F9D7-4F9D-BE57-E11C7B2D76CE</t>
  </si>
  <si>
    <t>E60D5D76-E17D-4F04-87FC-F5F757E19BE0</t>
  </si>
  <si>
    <t>459EE6E9-0E54-45BA-9ABC-C5CF23C3866A</t>
  </si>
  <si>
    <t>AFD7BD3D-F71E-403F-A98C-9B080119CA9D</t>
  </si>
  <si>
    <t>88F6C397-4438-45EB-A3DF-579BAF6DF9BC</t>
  </si>
  <si>
    <t>4F6D98EE-4892-461F-AEFE-816B3E780668</t>
  </si>
  <si>
    <t>4CC5876B-A3D1-4C49-B775-D216D1859493</t>
  </si>
  <si>
    <t>696AC234-33EA-4CC8-A760-C16E8D43C1A3</t>
  </si>
  <si>
    <t>0E4ACEAB-97A2-4FCC-957C-82F6D0B1AA9F</t>
  </si>
  <si>
    <t>A37453C8-69C1-4122-8081-C5A0892B04B0</t>
  </si>
  <si>
    <t>D87BE997-7057-447A-A746-AED4795E296E</t>
  </si>
  <si>
    <t>67221054-3479-4147-A8DF-A8209459B193</t>
  </si>
  <si>
    <t>4EA70714-1A22-4D7E-A308-0506126B0C8A</t>
  </si>
  <si>
    <t>0D2B6253-A014-4F0A-B13C-61F6D1E0E984</t>
  </si>
  <si>
    <t>A0FE2D0E-75E8-4E03-A8B8-8B0333892D57</t>
  </si>
  <si>
    <t>8F27AEF0-4706-497F-9D57-3735A6B76441</t>
  </si>
  <si>
    <t>BE1DD3E7-7046-4255-B78C-5A2ADCE53348</t>
  </si>
  <si>
    <t>C026E8D0-5C12-47EA-A81E-C46CB7D447AE</t>
  </si>
  <si>
    <t>F99C9027-49D1-4FBE-B81A-10B5B80C15E3</t>
  </si>
  <si>
    <t>2AE5963F-BFFD-44DC-8B66-C83AB9E26A42</t>
  </si>
  <si>
    <t>DCCFC72A-2540-461A-9EE7-ED4C0749874C</t>
  </si>
  <si>
    <t>E8AF4BF5-21C9-4434-9E75-FBA6E5F233BE</t>
  </si>
  <si>
    <t>EAE882CE-F0FC-424A-B9EC-798704D9B784</t>
  </si>
  <si>
    <t>FAF482B8-EFEB-4DD4-9B1A-EDEB871F84B0</t>
  </si>
  <si>
    <t>C6584538-BAD6-4A34-B466-2C50A874F52E</t>
  </si>
  <si>
    <t>1FC2B710-893E-42F1-B733-B1EE1ED10238</t>
  </si>
  <si>
    <t>7A24E515-08A6-42C3-BC9F-3CF4BD536C7C</t>
  </si>
  <si>
    <t>E1695FB1-1124-47C0-BC00-0FB6BEAE4188</t>
  </si>
  <si>
    <t>B9F73644-44CA-4AAD-ADCC-71EF4B399B88</t>
  </si>
  <si>
    <t>EB925AA3-600D-49E8-A54E-90633A3D6365</t>
  </si>
  <si>
    <t>DB6E3344-675F-40FB-A23E-432AF1AE5FDF</t>
  </si>
  <si>
    <t>D34B7C89-1D9E-46C4-9DB6-1A43C44BDE37</t>
  </si>
  <si>
    <t>3D45BDB8-7A04-42AA-9B92-0949487CD548</t>
  </si>
  <si>
    <t>580BCC2A-B478-4A6D-830C-6FEF66D1BEF0</t>
  </si>
  <si>
    <t>5B30D7B5-093D-40B7-ADB2-9CA1D3283453</t>
  </si>
  <si>
    <t>83021445-4B76-46AD-B7DC-1CEE03CA2C22</t>
  </si>
  <si>
    <t>1B40C939-8B92-4508-B944-163694C820CE</t>
  </si>
  <si>
    <t>B4B1A98C-A49E-486D-B3A2-DD5FDB5FF02C</t>
  </si>
  <si>
    <t>73768E4A-2A07-4E7C-A6C3-CD14C897A445</t>
  </si>
  <si>
    <t>CFDD360B-C265-4E65-82F8-B7CEED7F951E</t>
  </si>
  <si>
    <t>1BFF9746-E108-497C-AAEF-A93057FF13F1</t>
  </si>
  <si>
    <t>E95712F4-C486-4B2D-83B2-3327E5F83F68</t>
  </si>
  <si>
    <t>933FF576-55E6-44C1-A4BE-F0C07781921C</t>
  </si>
  <si>
    <t>B30D137F-D35A-4BAF-A7E0-05C2F0A4EE0B</t>
  </si>
  <si>
    <t>4D15788E-224F-49BE-B4D0-64AEAC344BC8</t>
  </si>
  <si>
    <t>2DEEF8FF-A761-4F53-B744-ABAA171C83CC</t>
  </si>
  <si>
    <t>DBCDC379-FFA2-43D5-9211-6F55E296E5F6</t>
  </si>
  <si>
    <t>9805268F-FD96-4DF0-BB1A-3CE7329AEA87</t>
  </si>
  <si>
    <t>75B1FAE4-322D-46F4-AF8C-CA10798883CB</t>
  </si>
  <si>
    <t>DA496E0E-86E6-4EC7-AD37-9829A6C52635</t>
  </si>
  <si>
    <t>156A634E-F7EA-4448-B68D-F3B1EFC44160</t>
  </si>
  <si>
    <t>6CB3751A-76DE-4850-B213-795FE8268475</t>
  </si>
  <si>
    <t>DD5A9BFE-04C0-4CE9-94F1-69B5C4DD0DDF</t>
  </si>
  <si>
    <t>3E25FE43-9D18-4F33-9E13-96BE36217EE4</t>
  </si>
  <si>
    <t>4D4A8A89-5010-4F87-83FA-86602AC7ED67</t>
  </si>
  <si>
    <t>EA3A9C70-F045-4EEE-8110-340CF3A69F02</t>
  </si>
  <si>
    <t>E23F5640-B209-429C-85FD-4D49F3E6DDBF</t>
  </si>
  <si>
    <t>8407F602-0765-4794-8F52-EFFEDAC3F1F9</t>
  </si>
  <si>
    <t>3D264DD9-11D4-4EC2-80FE-D388F1E51CCF</t>
  </si>
  <si>
    <t>D25E982B-41A8-4F04-8AB3-590A4E69D2E6</t>
  </si>
  <si>
    <t>CD3CBED5-9E6C-41E3-9EEB-FE5F5B776239</t>
  </si>
  <si>
    <t>09E129B2-EABA-4E58-AD92-A1202547B42D</t>
  </si>
  <si>
    <t>B9BEA64C-7CC3-4FB4-B7BA-9976B182CD96</t>
  </si>
  <si>
    <t>6F45693D-62C2-44BF-A1CC-F05D8561C32B</t>
  </si>
  <si>
    <t>6B102182-D6DD-4E70-80B1-61C6F065F45E</t>
  </si>
  <si>
    <t>30250450-08E3-4631-9795-FDD81D1F4203</t>
  </si>
  <si>
    <t>BC1EB367-5F4E-4A3A-BB3E-9E36C553C9C3</t>
  </si>
  <si>
    <t>5751C9B9-513F-4EAB-9F40-17E05ECB9842</t>
  </si>
  <si>
    <t>9C5055B7-E815-4731-81EE-0D7220A82F7E</t>
  </si>
  <si>
    <t>D4B4672C-049E-4E09-948A-A3294942B6C3</t>
  </si>
  <si>
    <t>7A2724F4-429D-44A9-9C60-314992B56E8A</t>
  </si>
  <si>
    <t>4873035F-7498-4727-9BD9-9B8915EF88A3</t>
  </si>
  <si>
    <t>376240B7-BBDC-40D0-AF1B-06559EE71910</t>
  </si>
  <si>
    <t>2708F220-0DBA-48E8-91C0-B0372C975F46</t>
  </si>
  <si>
    <t>F8DC9E72-8031-4F2A-8D96-4F0272558DCF</t>
  </si>
  <si>
    <t>A54200EF-2811-469C-9819-9322AD6A3015</t>
  </si>
  <si>
    <t>746E2721-601B-4E27-814C-A115C968EFF0</t>
  </si>
  <si>
    <t>869B99C8-AD2D-4E93-ACB3-D09184201583</t>
  </si>
  <si>
    <t>405C1F20-3053-4862-BC32-831BE3CD0DD8</t>
  </si>
  <si>
    <t>7A073649-E3E8-4C15-8B50-699C1BB954BD</t>
  </si>
  <si>
    <t>9DEFCE37-B0DE-4F2A-AE78-08D8A9E45CE4</t>
  </si>
  <si>
    <t>61F8E9BC-D8C4-4E5D-A936-10EEB3A7705A</t>
  </si>
  <si>
    <t>20B7B80F-A985-42C4-984C-9F445ADA7011</t>
  </si>
  <si>
    <t>57587D2F-195A-4D41-8015-B5B34DDA415A</t>
  </si>
  <si>
    <t>6E89F4B8-F2A3-4AB4-A613-3B22AFDD8C29</t>
  </si>
  <si>
    <t>A82E24A0-00C2-46D3-9E89-128DECEF66AA</t>
  </si>
  <si>
    <t>D1135CEB-661F-4942-8AC1-AF0D212824B5</t>
  </si>
  <si>
    <t>C1C51A63-2FD9-4039-86FB-96D158AA13D1</t>
  </si>
  <si>
    <t>9600A449-4319-4477-8392-5954BFC59922</t>
  </si>
  <si>
    <t>7E6C632D-1192-4C8F-A83D-E96838E2C301</t>
  </si>
  <si>
    <t>91AEE6EE-8A04-4A51-A43D-EE7DD17B5C80</t>
  </si>
  <si>
    <t>64290AA7-712E-432B-9755-A2C901AD5305</t>
  </si>
  <si>
    <t>71CC89BB-D237-4B98-8FF4-2B3E58245C0D</t>
  </si>
  <si>
    <t>3356D18A-4359-4430-8187-04179016A8A4</t>
  </si>
  <si>
    <t>983633AD-DFA9-4C3E-BCBA-727674784631</t>
  </si>
  <si>
    <t>3BDDB408-181C-44B5-A37F-F2D96EAF092F</t>
  </si>
  <si>
    <t>FBD4A236-5933-42E0-8A31-4CA7E29B013E</t>
  </si>
  <si>
    <t>461FB6FB-7CD1-44C9-A72B-499A96E498A8</t>
  </si>
  <si>
    <t>35C31659-E67E-4756-85B5-48E4C5685555</t>
  </si>
  <si>
    <t>909CDDCE-8B25-4B42-9A93-B05155A047C8</t>
  </si>
  <si>
    <t>B96436C1-AE95-44E0-90B8-C1F531E05DFB</t>
  </si>
  <si>
    <t>B0719E0D-FC0B-4CFE-BB64-BB35C4625626</t>
  </si>
  <si>
    <t>3591EC66-B782-4EA6-96C6-A5415A2EFC6D</t>
  </si>
  <si>
    <t>95B90F9B-66E4-4CAE-B659-F6930D7DCF1F</t>
  </si>
  <si>
    <t>2B41C271-FDED-416D-B44B-23CE4D25816F</t>
  </si>
  <si>
    <t>68BBD704-A30F-495B-AE55-64D97D49A908</t>
  </si>
  <si>
    <t>B8F80F7B-0B13-459F-BA63-86E82D15DE2A</t>
  </si>
  <si>
    <t>008F4F21-8D78-4C36-8377-6FEBEB3FDD44</t>
  </si>
  <si>
    <t>21AD2538-021D-4127-ABB9-CF7C747DBCAE</t>
  </si>
  <si>
    <t>BC66B065-BD8E-4A7C-9689-9216060D8F40</t>
  </si>
  <si>
    <t>6158ACF1-C552-4966-910A-F7A4E1DA444F</t>
  </si>
  <si>
    <t>E8F1B636-3504-4DC3-B9AF-AD28B97C9631</t>
  </si>
  <si>
    <t>AD315EA5-B476-42AB-B423-4D1744AE73AB</t>
  </si>
  <si>
    <t>575D2470-6DB4-44FA-A114-FE8075ABB50D</t>
  </si>
  <si>
    <t>7E002C42-F996-4B29-B13D-AC78E53D3BAD</t>
  </si>
  <si>
    <t>B1B92188-A936-47ED-AC78-6AD151D634E8</t>
  </si>
  <si>
    <t>92F26462-A4F6-4D7B-84D1-3BFC09F25781</t>
  </si>
  <si>
    <t>ED6750E3-6CF1-443E-883E-6FD800956CE0</t>
  </si>
  <si>
    <t>83A770A9-0E44-4DB3-B0FB-812D9F074988</t>
  </si>
  <si>
    <t>B17366B5-0BF4-43B5-AA9D-A7238DE9EB2F</t>
  </si>
  <si>
    <t>14A934DE-FD77-4D10-8671-A5C83671A789</t>
  </si>
  <si>
    <t>102FDAA8-5BB7-4D64-B9FD-CD6861BBED6E</t>
  </si>
  <si>
    <t>CE5FC33A-AAC3-4A85-BD13-FA3552D75232</t>
  </si>
  <si>
    <t>BB7992F9-5844-427A-A823-8205EA5E52F1</t>
  </si>
  <si>
    <t>EDB3A408-5AD4-407A-9B50-87513F5FBFBB</t>
  </si>
  <si>
    <t>2A6C172F-79D7-4990-94CF-368E64EE8D42</t>
  </si>
  <si>
    <t>26C01AA4-3BCA-4C6E-AB56-CE5D73994DDE</t>
  </si>
  <si>
    <t>64F89E03-E478-4F8D-BFAA-7CE64FC390E3</t>
  </si>
  <si>
    <t>973DD674-5205-4AD3-866B-64C640BB904F</t>
  </si>
  <si>
    <t>C05C5F17-6C1B-41DB-8C27-45A757907C74</t>
  </si>
  <si>
    <t>2112B8A7-502E-4A6E-9E87-2603C79FC624</t>
  </si>
  <si>
    <t>52B2517D-B9F7-4502-8076-AC1117B51213</t>
  </si>
  <si>
    <t>800D66CB-34F0-4835-B53E-2F232E77F270</t>
  </si>
  <si>
    <t>CF359F8B-4125-445E-8F0C-0E8A28296883</t>
  </si>
  <si>
    <t>D59CA229-2517-4F67-82F1-41FB0CBE6E59</t>
  </si>
  <si>
    <t>DE8D0F26-2D68-4B97-BBE6-06B8FAC5EA8A</t>
  </si>
  <si>
    <t>8D2A3B8E-ED94-43DA-BA26-8E7519F722DB</t>
  </si>
  <si>
    <t>0F8FF29D-7EFC-4E41-BC01-8E41306AC96A</t>
  </si>
  <si>
    <t>74E0B293-C629-496A-9D1A-511D34EC35F0</t>
  </si>
  <si>
    <t>A01CDC66-CA16-43F9-8540-BF6BA8024B67</t>
  </si>
  <si>
    <t>2A47C506-957C-4BC5-867B-D177FFABD2DB</t>
  </si>
  <si>
    <t>FDA19904-5787-4011-BE77-CDFED3FB8152</t>
  </si>
  <si>
    <t>7ABEFA4C-0AF8-4EBA-B81A-0C1B72D9B625</t>
  </si>
  <si>
    <t>316E2F57-0EDF-4D6B-B4CD-F0AFAAE738FD</t>
  </si>
  <si>
    <t>A6A556A9-2976-4CAA-B30F-52595FE23192</t>
  </si>
  <si>
    <t>C4B7BA07-5986-4C61-BF8C-B669BA07747F</t>
  </si>
  <si>
    <t>18B337BC-F621-4DD5-B0D0-B712D183C23F</t>
  </si>
  <si>
    <t>4C39F11B-5477-44F2-870A-05F893B684F1</t>
  </si>
  <si>
    <t>449FDAD0-AE2F-4419-9E28-E823A33E0385</t>
  </si>
  <si>
    <t>91D8972A-51C2-4972-BE3B-5560226E2BB0</t>
  </si>
  <si>
    <t>ACCA4168-295E-4031-9427-1578135FA1C0</t>
  </si>
  <si>
    <t>ADC9E330-E404-459C-9583-AEE305C828D9</t>
  </si>
  <si>
    <t>04BD149B-EE17-4691-A95A-B605B4F9FE22</t>
  </si>
  <si>
    <t>DA65602D-01AA-4B25-9505-5CD15BC00C24</t>
  </si>
  <si>
    <t>AD0DA293-05FD-4BA8-B7E2-0C5C9F0EBE89</t>
  </si>
  <si>
    <t>DEE29D82-EB00-4E93-811D-780B2234D655</t>
  </si>
  <si>
    <t>CDC0F988-60F9-41E0-BC7D-56B2E801BAFD</t>
  </si>
  <si>
    <t>ADA2D393-A17E-4BFB-8A34-34B12B76A50E</t>
  </si>
  <si>
    <t>AEC94628-B5CD-45DD-98AB-689D68705DB5</t>
  </si>
  <si>
    <t>B4D748B2-2E5A-42E6-AC8E-DA6FE7BE98E7</t>
  </si>
  <si>
    <t>2919F73E-D5C9-4AAA-BA11-41769480771E</t>
  </si>
  <si>
    <t>398058EC-49B7-4771-A5B3-02968BFF1B9E</t>
  </si>
  <si>
    <t>D52DDFF3-37F5-4779-9484-E638185DE2E5</t>
  </si>
  <si>
    <t>12349DBF-1862-46BA-8910-ECAF7D075479</t>
  </si>
  <si>
    <t>5096DF5A-2679-4409-90BD-B121DB7930AC</t>
  </si>
  <si>
    <t>479ACD34-9E75-481F-834B-6AD6ABDE3E51</t>
  </si>
  <si>
    <t>56DD7AC8-4B2A-4093-96D2-B3660E26A2FC</t>
  </si>
  <si>
    <t>CC75329A-FDA8-4678-8785-8DF15ECD5C8F</t>
  </si>
  <si>
    <t>4282AAD9-60C8-42C7-ABE9-4C6BC78044AB</t>
  </si>
  <si>
    <t>EE37D80A-E2A6-4D60-AD17-F58B43E06131</t>
  </si>
  <si>
    <t>92C07ABA-FBD6-49F4-B3CA-46796E2D0DA0</t>
  </si>
  <si>
    <t>412E4E2F-A04F-4C84-9A92-EC9FF976CA27</t>
  </si>
  <si>
    <t>969C73D9-757B-455A-BD41-5A0CEAAFD907</t>
  </si>
  <si>
    <t>85922427-E5B3-480D-BA4E-1336D8C665ED</t>
  </si>
  <si>
    <t>DD18A3E7-096A-4219-8CB0-353FDC45074C</t>
  </si>
  <si>
    <t>6D7F863D-086B-465D-AAEF-879DFCC949E5</t>
  </si>
  <si>
    <t>99AE27E0-7245-40D5-8ABD-F4FF0E706016</t>
  </si>
  <si>
    <t>C15F71D3-8F8C-446A-A0BA-BE127A07171C</t>
  </si>
  <si>
    <t>00364D25-6BE8-4674-A7F0-9D607EDE553A</t>
  </si>
  <si>
    <t>5932A43E-D53A-48E3-AC49-3A85FCA5D344</t>
  </si>
  <si>
    <t>8F08F2F7-2281-4F12-83FA-368172101C06</t>
  </si>
  <si>
    <t>FF289BBA-C8E5-4668-B928-A29D86A14900</t>
  </si>
  <si>
    <t>CE8AC1E3-10C1-4684-A048-17A0C92C206C</t>
  </si>
  <si>
    <t>FF40D3F8-1320-4561-900A-BBF7ECFB8A50</t>
  </si>
  <si>
    <t>FC3A420F-B1FD-4097-B64F-B5825C13046A</t>
  </si>
  <si>
    <t>B89F58E8-5F3B-48D2-A65E-5AB212E2BA89</t>
  </si>
  <si>
    <t>C984AB4E-9626-4A85-A7C5-5BBBCE131CF2</t>
  </si>
  <si>
    <t>4340E85A-B7F5-4341-8A5A-8A6CA5CA7496</t>
  </si>
  <si>
    <t>806F95E7-3FD3-47E1-A739-90D7C598D4E3</t>
  </si>
  <si>
    <t>33491DD6-05EE-444E-AB3D-5FC8F1196DC2</t>
  </si>
  <si>
    <t>F7E56D88-88E3-43E7-AD5C-7DEF0B3C0883</t>
  </si>
  <si>
    <t>CF7256F9-5712-412E-A765-1F1F74A60E5E</t>
  </si>
  <si>
    <t>3D1B77B4-F46A-4849-9151-7D7895150ED9</t>
  </si>
  <si>
    <t>9B2EBD70-8591-41E0-A571-9DC9266140C8</t>
  </si>
  <si>
    <t>F57135CB-79ED-40A2-AAB6-18DBD937CE45</t>
  </si>
  <si>
    <t>4878BD68-A5B9-42C9-A1E1-C8E36716DEED</t>
  </si>
  <si>
    <t>0F93BD02-5CD5-4B63-8CE6-D3534E289FA0</t>
  </si>
  <si>
    <t>ABBEA79F-13E3-4F4D-B2D9-D5DE7D520F35</t>
  </si>
  <si>
    <t>F8439266-43D1-4CFD-BFB8-CC85E454CB7B</t>
  </si>
  <si>
    <t>8A9A4603-5DFB-490F-8135-30033B884ACF</t>
  </si>
  <si>
    <t>23D1BB53-802F-4708-BABC-5A9E4E101839</t>
  </si>
  <si>
    <t>45FB8083-DBC9-4373-9B5D-8D476999EAFA</t>
  </si>
  <si>
    <t>E0CBC109-0478-4EDA-9252-04A94E7E4538</t>
  </si>
  <si>
    <t>EA200DCC-64AA-4955-A87C-4299F00A03DB</t>
  </si>
  <si>
    <t>B5B8983F-3F32-448D-A1BA-CD27564A2133</t>
  </si>
  <si>
    <t>F854F312-9D24-4E33-8A05-4D6ADEEDD206</t>
  </si>
  <si>
    <t>9A7C376E-9C14-4C4C-9E21-3E594789467D</t>
  </si>
  <si>
    <t>4E0BBB72-963E-48A2-8E6B-742E3EDFEA0C</t>
  </si>
  <si>
    <t>B0D60417-F8B2-442D-A7D7-7D3EBB0607D3</t>
  </si>
  <si>
    <t>2FC7F5B2-6AE3-4711-9494-87EB7356CCCB</t>
  </si>
  <si>
    <t>D0333014-C9C0-461A-83EE-34885AF0CAD5</t>
  </si>
  <si>
    <t>8F61D665-0945-418C-9BEC-1AC151A18244</t>
  </si>
  <si>
    <t>82140FA0-8170-425F-BA62-A00EE7758F98</t>
  </si>
  <si>
    <t>D71206CB-F193-457E-BC18-35828D83E655</t>
  </si>
  <si>
    <t>58E0FFAE-2CDE-40A1-A2D2-FDB395D2EBF3</t>
  </si>
  <si>
    <t>F4E4CA3B-5FC3-46DF-80E2-01D4BD586572</t>
  </si>
  <si>
    <t>6BE0AB27-7C43-4B61-AE48-A224C898D6C7</t>
  </si>
  <si>
    <t>479526A1-4AE8-405A-8D46-F6843B751542</t>
  </si>
  <si>
    <t>395210AC-EBCF-45B0-869C-A2E6CF2A53E3</t>
  </si>
  <si>
    <t>83AFE784-0C7D-4537-BAAA-7351F00DE8F7</t>
  </si>
  <si>
    <t>B87A5520-EFDF-43F6-B0F4-CFEDCEAD88FC</t>
  </si>
  <si>
    <t>ACD7B871-765D-4ABD-A922-2A232013E640</t>
  </si>
  <si>
    <t>76F8EC62-5B43-4F5F-8A7A-260AE87F52D9</t>
  </si>
  <si>
    <t>CB06DE26-0400-43CF-B947-BB7C66F19CA4</t>
  </si>
  <si>
    <t>6A134A46-3DF3-4289-A32A-59AB4D1C7439</t>
  </si>
  <si>
    <t>DF289525-57B1-4F31-AAC9-474922C9433F</t>
  </si>
  <si>
    <t>F5B3D136-14A4-4379-A9D4-45F7A4635D5F</t>
  </si>
  <si>
    <t>FB0376A5-8312-41A9-8869-32F41FD0508B</t>
  </si>
  <si>
    <t>F6EAE04F-EAF5-4787-A107-7A0865A957D2</t>
  </si>
  <si>
    <t>826C3B47-B406-4B22-A310-01E890E23C6C</t>
  </si>
  <si>
    <t>AFDDBF39-E734-4386-80C9-DCE55816CC65</t>
  </si>
  <si>
    <t>D7C4271F-5024-4260-92D5-938CFF863341</t>
  </si>
  <si>
    <t>5F9B60AC-82EE-4193-849A-4F454C28EF7D</t>
  </si>
  <si>
    <t>C4FE7454-5A99-4C24-8CE5-47CE9BFB16CC</t>
  </si>
  <si>
    <t>D115B2BC-9AFF-41AA-8ECE-99CADFF8499B</t>
  </si>
  <si>
    <t>600C8A1E-C79A-44ED-AE5E-F55320A85644</t>
  </si>
  <si>
    <t>7254D2B3-76FB-4101-ABA3-E36B4BE6455B</t>
  </si>
  <si>
    <t>ED621CC1-BCCB-43F7-BFC4-0A9BDE7C57AB</t>
  </si>
  <si>
    <t>4851E053-D99D-435B-9E7E-022C490242B5</t>
  </si>
  <si>
    <t>29658DD4-072C-4200-8601-099A43CDB8D3</t>
  </si>
  <si>
    <t>3D7D67CA-7DAB-468E-A1B5-8345A3441DBD</t>
  </si>
  <si>
    <t>AE14007C-25A9-4611-95AD-4A1824FBFCF2</t>
  </si>
  <si>
    <t>E569B11C-37E3-4F0F-A1FD-70558F4FDFBB</t>
  </si>
  <si>
    <t>FE215C67-CBF3-4D51-9548-EB7DEAF33959</t>
  </si>
  <si>
    <t>72A6527F-D82C-4683-A4BB-A9A8E22DD2CE</t>
  </si>
  <si>
    <t>3892B195-1556-47A5-944B-903F52A8D891</t>
  </si>
  <si>
    <t>986D7F8C-573D-496C-8F58-AF238CCBCA30</t>
  </si>
  <si>
    <t>4524F284-574A-4FBA-BE6A-0FF1F8AFDC49</t>
  </si>
  <si>
    <t>024DDF46-8208-4E8D-8E5B-B04E70F15F05</t>
  </si>
  <si>
    <t>6BFCC951-3AC2-4D9C-91C6-1B19EDB6DA01</t>
  </si>
  <si>
    <t>11557C62-1DA7-4372-B5BB-14E923A12F37</t>
  </si>
  <si>
    <t>B409BCD3-947F-4E48-BD47-C68A6515D97D</t>
  </si>
  <si>
    <t>098DB024-3166-441D-8CD3-468C440EDD4A</t>
  </si>
  <si>
    <t>4B4886D8-F0F8-4869-972B-17DD33E00ED0</t>
  </si>
  <si>
    <t>8E634D8A-8D16-4288-8169-9023E18DA9EB</t>
  </si>
  <si>
    <t>A3E764A5-9FAD-45C7-9D30-EE6A0724BCB1</t>
  </si>
  <si>
    <t>0A099A62-82A6-43EB-9666-9C916F0ECF4C</t>
  </si>
  <si>
    <t>00EA560F-7296-41FA-B1B1-D1979FE0AC4B</t>
  </si>
  <si>
    <t>77A9F126-A586-43C1-9F0D-C952EEA82214</t>
  </si>
  <si>
    <t>0E7E1F17-5C1C-4014-BA83-90D2B371A4FA</t>
  </si>
  <si>
    <t>7D7940DE-C61C-4778-8A48-D651CFBADCD7</t>
  </si>
  <si>
    <t>E0F57630-BD08-4790-8B93-66BA1CDCD3B4</t>
  </si>
  <si>
    <t>EC217EA1-30B5-46C9-A803-9208DBEDEAC8</t>
  </si>
  <si>
    <t>41D01C6E-1ADD-4CD3-A122-36032CE4F257</t>
  </si>
  <si>
    <t>0F99B0CE-53A9-4FA3-B758-4F7F697EC413</t>
  </si>
  <si>
    <t>DD2CCBF4-E315-4F45-8548-BFC22143C765</t>
  </si>
  <si>
    <t>634CBBCB-B46C-4661-95BA-8BD6C6ED9615</t>
  </si>
  <si>
    <t>6B1FD3F7-4ECE-4778-AA1C-85B9B3266460</t>
  </si>
  <si>
    <t>7E8A7B63-A6E2-4BF1-94FF-A16D61DBBBDF</t>
  </si>
  <si>
    <t>E673C2BE-3E2A-4FA6-87AE-F20481C05303</t>
  </si>
  <si>
    <t>2D662FF9-6DBE-44C0-B58F-8F4F4EDAAF5D</t>
  </si>
  <si>
    <t>1D4E0D9D-0AD2-48F9-96A6-F9A2E902E643</t>
  </si>
  <si>
    <t>F50A1974-9A90-42B6-A282-23A5A3E01C46</t>
  </si>
  <si>
    <t>F774BBE3-D4E6-48B9-B8BF-D260745DBD46</t>
  </si>
  <si>
    <t>7B6F7F35-C8BC-4363-A7CF-808A8A3125A9</t>
  </si>
  <si>
    <t>EA2DC77D-C668-41B1-9CF1-CC0436622FFE</t>
  </si>
  <si>
    <t>7DB6DA93-F80E-4044-9EC9-AA6E33440E92</t>
  </si>
  <si>
    <t>29D179B5-28EF-4F65-8E4A-9314B13FA31F</t>
  </si>
  <si>
    <t>208E32D3-5B56-4737-AD4B-F44F86CD7342</t>
  </si>
  <si>
    <t>A45A0E48-F600-4484-BA11-43A1753EEDF8</t>
  </si>
  <si>
    <t>6E2ED978-A688-43D0-BE74-72F4DF38B4CF</t>
  </si>
  <si>
    <t>5377C755-10EC-423E-9279-1C4DDCB75FD3</t>
  </si>
  <si>
    <t>B2F82760-575A-43D0-958E-B798A3741D5C</t>
  </si>
  <si>
    <t>6CB446AB-FCBA-4E0D-96C5-5681C00DCB86</t>
  </si>
  <si>
    <t>690FB494-B9B4-4FFA-83DE-E53CAEDBB72C</t>
  </si>
  <si>
    <t>8053435D-0684-467A-A80D-731027BD6CD0</t>
  </si>
  <si>
    <t>69FC61EE-293A-4F74-A8DA-87C6787E8971</t>
  </si>
  <si>
    <t>C7AE4D01-1AD5-4899-BC39-3D4FC5ED05C3</t>
  </si>
  <si>
    <t>179844A7-5029-4D52-901D-8098A375FD36</t>
  </si>
  <si>
    <t>51F9AA1C-4CF0-46B1-8136-024A61FCBBFB</t>
  </si>
  <si>
    <t>276CF6F0-AA44-46CD-877A-AD736513BA90</t>
  </si>
  <si>
    <t>A714C41C-E226-433A-B3F2-230C0BEF1477</t>
  </si>
  <si>
    <t>324AA344-5F4D-4D61-B2B2-E57F91110BC1</t>
  </si>
  <si>
    <t>F0FD7E48-5186-4D92-90BF-20A97FE65EF4</t>
  </si>
  <si>
    <t>4054EFDC-0B29-4D32-BCD0-5A92F793EB9B</t>
  </si>
  <si>
    <t>174978A1-A845-4FDF-8696-F2F183CCA237</t>
  </si>
  <si>
    <t>896718F6-C4B0-42DF-AC07-BE29B699863E</t>
  </si>
  <si>
    <t>49E14569-E3EA-4C91-975F-3E93486EA56A</t>
  </si>
  <si>
    <t>DFAFF5C9-C066-41D6-B5A9-04B3F414CBDF</t>
  </si>
  <si>
    <t>AA976F10-6B74-4CF6-B406-6218D092DA57</t>
  </si>
  <si>
    <t>0D8BB7D4-D25D-4D60-8DA0-19DA2BEFD129</t>
  </si>
  <si>
    <t>028D355C-522D-47A8-A585-3A4B9AE83C17</t>
  </si>
  <si>
    <t>C73BD848-ED84-4678-B660-24DE9FF9669B</t>
  </si>
  <si>
    <t>82E129D8-34D0-4CE3-BE64-26D86BA3A9A8</t>
  </si>
  <si>
    <t>F0C5B3AF-AB05-4AE9-AF98-F936DA1506BF</t>
  </si>
  <si>
    <t>2BABF360-4100-4BFF-BFCA-0A0A4CE7C9D5</t>
  </si>
  <si>
    <t>B0B22427-C989-4AD7-9945-E4D9B68B3F48</t>
  </si>
  <si>
    <t>464B1DE2-94F4-47AD-A6CF-0F2BC3E17FFA</t>
  </si>
  <si>
    <t>14953B66-FE79-4D9A-99F4-253C4745E841</t>
  </si>
  <si>
    <t>B1818670-C363-4180-8246-5C5769A5CF6B</t>
  </si>
  <si>
    <t>2E00B71F-7D24-47EA-85FA-E0A858B6BECF</t>
  </si>
  <si>
    <t>884D4BFC-4D27-4D7E-8E34-C71C30AF42D6</t>
  </si>
  <si>
    <t>7394D93C-5CC2-49BB-8136-25ABBCC70314</t>
  </si>
  <si>
    <t>27DEB38C-CB5F-4ACF-BEC2-09AB3D866DEC</t>
  </si>
  <si>
    <t>861249AB-D721-457C-AD38-A3B4313F7CBA</t>
  </si>
  <si>
    <t>01FBF89B-9B99-45C5-899A-F1A5134F7092</t>
  </si>
  <si>
    <t>8E47917B-38CD-4587-ABDC-4BDD41B1A5EC</t>
  </si>
  <si>
    <t>9D7A3B3F-275C-4F50-A485-6C74064F147C</t>
  </si>
  <si>
    <t>4F3217FC-083C-4221-BFDD-0057B745961C</t>
  </si>
  <si>
    <t>CE972F35-1AE3-409E-8AAD-8323ED74A3E6</t>
  </si>
  <si>
    <t>7F8177BE-8FF8-44D5-8E1E-738E7EF275A4</t>
  </si>
  <si>
    <t>92785C50-DF3A-41F3-BD1E-71EF9600F110</t>
  </si>
  <si>
    <t>938F8533-F212-4FD1-8C91-73F8B797C506</t>
  </si>
  <si>
    <t>FDCCD94E-9682-4C0B-A337-B87D07C76EB4</t>
  </si>
  <si>
    <t>75DAD376-EBAF-4E89-B09A-64D7539F9DD5</t>
  </si>
  <si>
    <t>0223E490-C875-43B8-A44C-3AB176AD69A6</t>
  </si>
  <si>
    <t>0F23E76E-9F99-414E-AB5F-3048F40C4134</t>
  </si>
  <si>
    <t>BD8BD35E-7689-4618-9D0E-81C5FD01D262</t>
  </si>
  <si>
    <t>1A96F856-5F37-4C14-BA0C-C8F584290558</t>
  </si>
  <si>
    <t>E287F7CD-FC3D-42E9-9FA9-3E9812636042</t>
  </si>
  <si>
    <t>AD3E7DC2-16FF-4309-9C96-961F76076959</t>
  </si>
  <si>
    <t>B57F915F-15D2-4D6F-A03E-2BB602418652</t>
  </si>
  <si>
    <t>66A68BE6-182E-4FBA-B088-6ADB4CECF57F</t>
  </si>
  <si>
    <t>6BF2C2CA-EE8D-400A-BEF6-532342FF4E10</t>
  </si>
  <si>
    <t>B924B349-6753-4F4C-8C3F-D7047D41EBA6</t>
  </si>
  <si>
    <t>99BAC2A9-C17B-4E5A-A49F-E32FE2307CFE</t>
  </si>
  <si>
    <t>873CDA46-E34A-4444-A0E9-1EF20863A178</t>
  </si>
  <si>
    <t>68B3EFA1-9F54-4605-95A8-664B57DC2D56</t>
  </si>
  <si>
    <t>dbcb1b45-5f03-4089-89d3-2da5fd7304b5</t>
  </si>
  <si>
    <t>9b43a3a8-977f-4df9-bc93-ef18a0d44e43</t>
  </si>
  <si>
    <t>Фатежский район (4)</t>
  </si>
  <si>
    <t>8ff9bea5-a886-4b2a-b8cf-ea5dead3ec88</t>
  </si>
  <si>
    <t>Публично-правовая компания «Фонд развития территорий»</t>
  </si>
  <si>
    <t>dc18c1a9-4113-491f-b991-e80e9a0240a1</t>
  </si>
  <si>
    <t>93925208-70bd-4a03-bc3f-35eadbb9cca8</t>
  </si>
  <si>
    <t>05076a9f-55f8-4acd-a114-df7329edba2c</t>
  </si>
  <si>
    <t>e5aface1-c8d8-4f26-86ab-cc5a037b6467</t>
  </si>
  <si>
    <t>ed14cf7d-2736-4596-9b08-5e00e3f2f36d</t>
  </si>
  <si>
    <t>df03bc64-c764-4868-8634-3e44be8f5db8</t>
  </si>
  <si>
    <t>98eec9a2-2fca-42e5-8712-8a86c6e07b29</t>
  </si>
  <si>
    <t>8c31ba06-4994-4f2a-8983-1cbfe288af3b</t>
  </si>
  <si>
    <t>aa231c84-6e97-4d9a-a55d-be0648e6f25e</t>
  </si>
  <si>
    <t>47e2f441-457c-45b8-b146-2bf28e55bc2d</t>
  </si>
  <si>
    <t>b9f0af39-8a3f-4cf4-a3c5-e985eb05454a</t>
  </si>
  <si>
    <t>524c5b5e-3ba6-4fa4-ada3-a7cdc4c18090</t>
  </si>
  <si>
    <t>fc07b4cf-c7e3-4f77-9ac2-2246f74e9d1a</t>
  </si>
  <si>
    <t>3a45551b-0636-4f5c-8ac6-77ccaed086c4</t>
  </si>
  <si>
    <t>2d4bf999-49a1-4cc7-9ca6-8c3eff999dc0</t>
  </si>
  <si>
    <t>eaad2bb4-2015-4020-8db2-83edfb0cfa21</t>
  </si>
  <si>
    <t>b6abb1e0-31db-40ab-943e-a74e3dda0000</t>
  </si>
  <si>
    <t>0816de2f-12fb-4aa6-becd-a62ab4583c0c</t>
  </si>
  <si>
    <t>6971770f-968a-4e28-bd2a-954d0b6c851c</t>
  </si>
  <si>
    <t>07f79ac1-5f3f-4d9f-be02-2b45937243c4</t>
  </si>
  <si>
    <t>реализации Региональной программы капитального ремонта общего имущества в многоквартирных домах, расположенных на территории Курской области, на 2020–2022 годы</t>
  </si>
  <si>
    <t>ИТОГО за 2020–2022 гг</t>
  </si>
  <si>
    <t>4-й кв.2021г.</t>
  </si>
  <si>
    <t>4-й кв.2022г.</t>
  </si>
  <si>
    <t>4-й кв.2023г.</t>
  </si>
  <si>
    <t>Горшеченский район (2)</t>
  </si>
  <si>
    <t>Дмитриевский район (1)</t>
  </si>
  <si>
    <t>Железногорский район (2)</t>
  </si>
  <si>
    <t>Касторенский район (9)</t>
  </si>
  <si>
    <t>Курский район (4)</t>
  </si>
  <si>
    <t>Курчатовский район (1)</t>
  </si>
  <si>
    <t>Медвенский район (1)</t>
  </si>
  <si>
    <t>Обоянский район (2)</t>
  </si>
  <si>
    <t>Пристенский район (1)</t>
  </si>
  <si>
    <t>Рыльский район (8)</t>
  </si>
  <si>
    <t>Тимский район (2)</t>
  </si>
  <si>
    <t>Горшеченский район (1)</t>
  </si>
  <si>
    <t>Касторенский район (3)</t>
  </si>
  <si>
    <t>Курчатовский район (2)</t>
  </si>
  <si>
    <t>Льговский район (1)</t>
  </si>
  <si>
    <t>Мантуровский район (1)</t>
  </si>
  <si>
    <t>Поныровский район (1)</t>
  </si>
  <si>
    <t>Рыльский район (1)</t>
  </si>
  <si>
    <t>Советский район (1)</t>
  </si>
  <si>
    <t>Солнцевский район (1)</t>
  </si>
  <si>
    <t>Фатежский район (2)</t>
  </si>
  <si>
    <t>Хомутовский район (6)</t>
  </si>
  <si>
    <t>Черемисиновский район (1)</t>
  </si>
  <si>
    <t>Глушковский район (3)</t>
  </si>
  <si>
    <t>Дмитриевский район (2)</t>
  </si>
  <si>
    <t>Железногорский район (14)</t>
  </si>
  <si>
    <t>Кореневский район (3)</t>
  </si>
  <si>
    <t>Конышевский район (2)</t>
  </si>
  <si>
    <t>Курский район (3)</t>
  </si>
  <si>
    <t>Льговский район (2)</t>
  </si>
  <si>
    <t>Обоянский район (4)</t>
  </si>
  <si>
    <t>Пристенский район (2)</t>
  </si>
  <si>
    <t>Советский район (4)</t>
  </si>
  <si>
    <t>Хомутовский район (1)</t>
  </si>
  <si>
    <t>г. Железногорск (29)</t>
  </si>
  <si>
    <t>г. Курск (180)</t>
  </si>
  <si>
    <t>г. Курчатов (1)</t>
  </si>
  <si>
    <t>г. Щигры (11)</t>
  </si>
  <si>
    <t>г. Курск (110)</t>
  </si>
  <si>
    <t>г. Курчатов (15)</t>
  </si>
  <si>
    <t>г. Льгов (3)</t>
  </si>
  <si>
    <t>г. Щигры (6)</t>
  </si>
  <si>
    <t>г. Железногорск (4)</t>
  </si>
  <si>
    <t>г. Курск (133)</t>
  </si>
  <si>
    <t>г. Курчатов (5)</t>
  </si>
  <si>
    <t>г. Льгов (10)</t>
  </si>
  <si>
    <t>г. Щигры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</si>
</sst>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sz val="24"/>
      <name val="Arial"/>
      <family val="2"/>
      <charset val="204"/>
    </font>
    <font>
      <sz val="24"/>
      <color rgb="FF000000"/>
      <name val="Arial"/>
      <family val="2"/>
      <charset val="204"/>
    </font>
    <font>
      <b/>
      <sz val="24"/>
      <name val="Arial"/>
      <family val="2"/>
      <charset val="204"/>
    </font>
    <font>
      <b/>
      <sz val="36"/>
      <name val="Arial"/>
      <family val="2"/>
      <charset val="204"/>
    </font>
    <font>
      <b/>
      <sz val="36"/>
      <color rgb="FF000000"/>
      <name val="Arial"/>
      <family val="2"/>
      <charset val="204"/>
    </font>
    <font>
      <b/>
      <sz val="50"/>
      <name val="Arial"/>
      <family val="2"/>
      <charset val="204"/>
    </font>
    <font>
      <sz val="50"/>
      <name val="Arial"/>
      <family val="2"/>
      <charset val="204"/>
    </font>
    <font>
      <sz val="50"/>
      <color theme="1"/>
      <name val="Arial"/>
      <family val="2"/>
      <charset val="204"/>
    </font>
    <font>
      <b/>
      <sz val="50"/>
      <color theme="1"/>
      <name val="Arial"/>
      <family val="2"/>
      <charset val="204"/>
    </font>
    <font>
      <sz val="48"/>
      <color theme="1"/>
      <name val="Arial"/>
      <family val="2"/>
      <charset val="204"/>
    </font>
    <font>
      <sz val="4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48"/>
      <name val="Arial"/>
      <family val="2"/>
      <charset val="204"/>
    </font>
    <font>
      <sz val="40"/>
      <color theme="1"/>
      <name val="Arial"/>
      <family val="2"/>
      <charset val="204"/>
    </font>
    <font>
      <sz val="40"/>
      <name val="Arial"/>
      <family val="2"/>
      <charset val="204"/>
    </font>
    <font>
      <b/>
      <sz val="40"/>
      <name val="Arial"/>
      <family val="2"/>
      <charset val="204"/>
    </font>
    <font>
      <b/>
      <sz val="40"/>
      <color rgb="FF000000"/>
      <name val="Arial"/>
      <family val="2"/>
      <charset val="204"/>
    </font>
    <font>
      <sz val="36"/>
      <color theme="1"/>
      <name val="Arial"/>
      <family val="2"/>
      <charset val="204"/>
    </font>
    <font>
      <sz val="36"/>
      <name val="Arial"/>
      <family val="2"/>
      <charset val="204"/>
    </font>
    <font>
      <sz val="11"/>
      <color theme="1"/>
      <name val="Calibri"/>
      <family val="2"/>
    </font>
    <font>
      <b/>
      <sz val="14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60"/>
      <name val="Arial"/>
      <family val="2"/>
      <charset val="204"/>
    </font>
    <font>
      <b/>
      <sz val="5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5" fillId="0" borderId="0"/>
  </cellStyleXfs>
  <cellXfs count="143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Fill="1"/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/>
    <xf numFmtId="4" fontId="10" fillId="0" borderId="1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2" fillId="0" borderId="11" xfId="0" applyFont="1" applyFill="1" applyBorder="1" applyAlignment="1">
      <alignment horizontal="center" vertical="center" shrinkToFit="1"/>
    </xf>
    <xf numFmtId="4" fontId="12" fillId="0" borderId="11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4" fontId="12" fillId="0" borderId="4" xfId="0" applyNumberFormat="1" applyFont="1" applyFill="1" applyBorder="1" applyAlignment="1">
      <alignment horizontal="center" vertical="center" shrinkToFit="1"/>
    </xf>
    <xf numFmtId="4" fontId="12" fillId="0" borderId="11" xfId="1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1" fillId="0" borderId="11" xfId="0" applyNumberFormat="1" applyFont="1" applyFill="1" applyBorder="1" applyAlignment="1">
      <alignment horizontal="center" vertical="center" shrinkToFit="1"/>
    </xf>
    <xf numFmtId="4" fontId="11" fillId="0" borderId="10" xfId="0" applyNumberFormat="1" applyFont="1" applyFill="1" applyBorder="1" applyAlignment="1">
      <alignment horizontal="center" vertical="center" shrinkToFit="1"/>
    </xf>
    <xf numFmtId="4" fontId="12" fillId="0" borderId="10" xfId="0" applyNumberFormat="1" applyFont="1" applyFill="1" applyBorder="1" applyAlignment="1">
      <alignment horizontal="center" vertical="center" shrinkToFit="1"/>
    </xf>
    <xf numFmtId="4" fontId="12" fillId="0" borderId="13" xfId="0" applyNumberFormat="1" applyFont="1" applyFill="1" applyBorder="1" applyAlignment="1">
      <alignment horizontal="center" vertical="center" shrinkToFit="1"/>
    </xf>
    <xf numFmtId="4" fontId="11" fillId="0" borderId="13" xfId="0" applyNumberFormat="1" applyFont="1" applyFill="1" applyBorder="1" applyAlignment="1">
      <alignment horizontal="center" vertical="center" shrinkToFit="1"/>
    </xf>
    <xf numFmtId="4" fontId="11" fillId="0" borderId="11" xfId="0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vertical="center" shrinkToFit="1"/>
    </xf>
    <xf numFmtId="4" fontId="11" fillId="0" borderId="11" xfId="1" applyNumberFormat="1" applyFont="1" applyFill="1" applyBorder="1" applyAlignment="1">
      <alignment horizontal="center" vertical="center" shrinkToFit="1"/>
    </xf>
    <xf numFmtId="4" fontId="11" fillId="0" borderId="4" xfId="0" applyNumberFormat="1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vertical="center" shrinkToFit="1"/>
    </xf>
    <xf numFmtId="0" fontId="14" fillId="0" borderId="11" xfId="0" applyFont="1" applyFill="1" applyBorder="1" applyAlignment="1">
      <alignment horizontal="center" vertical="center" shrinkToFit="1"/>
    </xf>
    <xf numFmtId="4" fontId="12" fillId="0" borderId="3" xfId="0" applyNumberFormat="1" applyFont="1" applyFill="1" applyBorder="1" applyAlignment="1">
      <alignment horizontal="center" vertical="center" shrinkToFit="1"/>
    </xf>
    <xf numFmtId="4" fontId="13" fillId="0" borderId="11" xfId="0" applyNumberFormat="1" applyFont="1" applyFill="1" applyBorder="1" applyAlignment="1">
      <alignment vertical="center" shrinkToFit="1"/>
    </xf>
    <xf numFmtId="4" fontId="14" fillId="0" borderId="11" xfId="0" applyNumberFormat="1" applyFont="1" applyFill="1" applyBorder="1" applyAlignment="1">
      <alignment horizontal="center" vertical="center" shrinkToFit="1"/>
    </xf>
    <xf numFmtId="4" fontId="14" fillId="0" borderId="11" xfId="0" applyNumberFormat="1" applyFont="1" applyFill="1" applyBorder="1" applyAlignment="1">
      <alignment vertical="center" shrinkToFit="1"/>
    </xf>
    <xf numFmtId="4" fontId="12" fillId="0" borderId="11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3" fillId="0" borderId="11" xfId="0" applyNumberFormat="1" applyFont="1" applyFill="1" applyBorder="1" applyAlignment="1">
      <alignment vertical="center" shrinkToFit="1"/>
    </xf>
    <xf numFmtId="0" fontId="14" fillId="0" borderId="11" xfId="0" applyNumberFormat="1" applyFont="1" applyFill="1" applyBorder="1" applyAlignment="1">
      <alignment vertical="center" shrinkToFit="1"/>
    </xf>
    <xf numFmtId="0" fontId="12" fillId="0" borderId="11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/>
    </xf>
    <xf numFmtId="4" fontId="16" fillId="0" borderId="11" xfId="0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 wrapText="1" shrinkToFit="1"/>
    </xf>
    <xf numFmtId="4" fontId="16" fillId="0" borderId="1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 shrinkToFit="1"/>
    </xf>
    <xf numFmtId="0" fontId="16" fillId="0" borderId="11" xfId="0" applyNumberFormat="1" applyFont="1" applyFill="1" applyBorder="1" applyAlignment="1">
      <alignment horizontal="center" vertical="center" wrapText="1" shrinkToFit="1"/>
    </xf>
    <xf numFmtId="0" fontId="13" fillId="0" borderId="11" xfId="0" applyNumberFormat="1" applyFont="1" applyFill="1" applyBorder="1" applyAlignment="1">
      <alignment horizontal="center" vertical="center" shrinkToFit="1"/>
    </xf>
    <xf numFmtId="0" fontId="14" fillId="0" borderId="11" xfId="0" applyNumberFormat="1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 shrinkToFit="1"/>
    </xf>
    <xf numFmtId="4" fontId="16" fillId="0" borderId="4" xfId="0" applyNumberFormat="1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10" fillId="0" borderId="4" xfId="1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shrinkToFit="1"/>
    </xf>
    <xf numFmtId="4" fontId="17" fillId="0" borderId="11" xfId="0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/>
    <xf numFmtId="0" fontId="21" fillId="0" borderId="1" xfId="0" applyNumberFormat="1" applyFont="1" applyFill="1" applyBorder="1" applyAlignment="1">
      <alignment vertical="center" wrapText="1"/>
    </xf>
    <xf numFmtId="0" fontId="22" fillId="0" borderId="11" xfId="1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shrinkToFit="1"/>
    </xf>
    <xf numFmtId="0" fontId="19" fillId="0" borderId="11" xfId="0" applyNumberFormat="1" applyFont="1" applyFill="1" applyBorder="1" applyAlignment="1">
      <alignment horizontal="center" vertical="center" shrinkToFit="1"/>
    </xf>
    <xf numFmtId="0" fontId="21" fillId="0" borderId="11" xfId="0" applyNumberFormat="1" applyFont="1" applyFill="1" applyBorder="1" applyAlignment="1">
      <alignment horizontal="center" vertical="center" shrinkToFit="1"/>
    </xf>
    <xf numFmtId="0" fontId="21" fillId="0" borderId="11" xfId="1" applyNumberFormat="1" applyFont="1" applyFill="1" applyBorder="1" applyAlignment="1">
      <alignment horizontal="center" vertical="center" shrinkToFit="1"/>
    </xf>
    <xf numFmtId="4" fontId="9" fillId="0" borderId="11" xfId="0" applyNumberFormat="1" applyFont="1" applyFill="1" applyBorder="1" applyAlignment="1">
      <alignment horizontal="center" vertical="center" textRotation="90" wrapText="1"/>
    </xf>
    <xf numFmtId="4" fontId="12" fillId="0" borderId="0" xfId="0" applyNumberFormat="1" applyFont="1" applyFill="1" applyBorder="1" applyAlignment="1">
      <alignment horizontal="center" vertical="center" shrinkToFit="1"/>
    </xf>
    <xf numFmtId="43" fontId="10" fillId="0" borderId="11" xfId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shrinkToFit="1"/>
    </xf>
    <xf numFmtId="4" fontId="29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1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 shrinkToFit="1"/>
    </xf>
    <xf numFmtId="0" fontId="16" fillId="0" borderId="11" xfId="0" applyFont="1" applyFill="1" applyBorder="1" applyAlignment="1">
      <alignment vertical="center" wrapText="1" shrinkToFit="1"/>
    </xf>
    <xf numFmtId="0" fontId="15" fillId="0" borderId="11" xfId="0" applyFont="1" applyFill="1" applyBorder="1" applyAlignment="1">
      <alignment vertical="center"/>
    </xf>
    <xf numFmtId="4" fontId="11" fillId="0" borderId="11" xfId="0" applyNumberFormat="1" applyFont="1" applyFill="1" applyBorder="1" applyAlignment="1">
      <alignment vertical="center" shrinkToFit="1"/>
    </xf>
    <xf numFmtId="4" fontId="13" fillId="0" borderId="11" xfId="0" applyNumberFormat="1" applyFont="1" applyFill="1" applyBorder="1" applyAlignment="1">
      <alignment horizontal="center" vertical="center" wrapText="1" shrinkToFit="1"/>
    </xf>
    <xf numFmtId="4" fontId="11" fillId="0" borderId="11" xfId="1" applyNumberFormat="1" applyFont="1" applyFill="1" applyBorder="1" applyAlignment="1">
      <alignment horizontal="center" vertical="center" wrapText="1" shrinkToFit="1"/>
    </xf>
    <xf numFmtId="4" fontId="6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textRotation="90" wrapText="1"/>
    </xf>
    <xf numFmtId="43" fontId="10" fillId="0" borderId="8" xfId="1" applyFont="1" applyFill="1" applyBorder="1" applyAlignment="1">
      <alignment horizontal="center" vertical="center" textRotation="90" wrapText="1"/>
    </xf>
    <xf numFmtId="43" fontId="10" fillId="0" borderId="10" xfId="1" applyFont="1" applyFill="1" applyBorder="1" applyAlignment="1">
      <alignment horizontal="center" vertical="center" textRotation="90" wrapText="1"/>
    </xf>
    <xf numFmtId="49" fontId="24" fillId="0" borderId="3" xfId="0" applyNumberFormat="1" applyFont="1" applyFill="1" applyBorder="1" applyAlignment="1">
      <alignment horizontal="center" vertical="center" textRotation="90" wrapText="1"/>
    </xf>
    <xf numFmtId="49" fontId="24" fillId="0" borderId="8" xfId="0" applyNumberFormat="1" applyFont="1" applyFill="1" applyBorder="1" applyAlignment="1">
      <alignment horizontal="center" vertical="center" textRotation="90" wrapText="1"/>
    </xf>
    <xf numFmtId="49" fontId="24" fillId="0" borderId="10" xfId="0" applyNumberFormat="1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center" vertical="center" textRotation="90" wrapText="1"/>
    </xf>
    <xf numFmtId="0" fontId="9" fillId="0" borderId="8" xfId="0" applyNumberFormat="1" applyFont="1" applyFill="1" applyBorder="1" applyAlignment="1">
      <alignment horizontal="center" vertical="center" textRotation="90" wrapText="1"/>
    </xf>
    <xf numFmtId="0" fontId="9" fillId="0" borderId="10" xfId="0" applyNumberFormat="1" applyFont="1" applyFill="1" applyBorder="1" applyAlignment="1">
      <alignment horizontal="center" vertical="center" textRotation="90" wrapText="1"/>
    </xf>
    <xf numFmtId="49" fontId="9" fillId="0" borderId="3" xfId="0" applyNumberFormat="1" applyFont="1" applyFill="1" applyBorder="1" applyAlignment="1">
      <alignment horizontal="center" vertical="center" textRotation="90" wrapText="1"/>
    </xf>
    <xf numFmtId="49" fontId="9" fillId="0" borderId="8" xfId="0" applyNumberFormat="1" applyFont="1" applyFill="1" applyBorder="1" applyAlignment="1">
      <alignment horizontal="center" vertical="center" textRotation="90" wrapText="1"/>
    </xf>
    <xf numFmtId="49" fontId="9" fillId="0" borderId="10" xfId="0" applyNumberFormat="1" applyFont="1" applyFill="1" applyBorder="1" applyAlignment="1">
      <alignment horizontal="center" vertical="center" textRotation="90" wrapText="1"/>
    </xf>
    <xf numFmtId="4" fontId="24" fillId="0" borderId="8" xfId="0" applyNumberFormat="1" applyFont="1" applyFill="1" applyBorder="1" applyAlignment="1">
      <alignment horizontal="center" vertical="center" textRotation="90" wrapText="1"/>
    </xf>
    <xf numFmtId="4" fontId="24" fillId="0" borderId="10" xfId="0" applyNumberFormat="1" applyFont="1" applyFill="1" applyBorder="1" applyAlignment="1">
      <alignment horizontal="center" vertical="center" textRotation="90" wrapText="1"/>
    </xf>
    <xf numFmtId="0" fontId="26" fillId="0" borderId="3" xfId="0" applyFont="1" applyFill="1" applyBorder="1" applyAlignment="1">
      <alignment horizontal="center" vertical="center" textRotation="90" wrapText="1"/>
    </xf>
    <xf numFmtId="0" fontId="26" fillId="0" borderId="8" xfId="0" applyFont="1" applyFill="1" applyBorder="1" applyAlignment="1">
      <alignment horizontal="center" vertical="center" textRotation="90" wrapText="1"/>
    </xf>
    <xf numFmtId="0" fontId="26" fillId="0" borderId="10" xfId="0" applyFont="1" applyFill="1" applyBorder="1" applyAlignment="1">
      <alignment horizontal="center" vertical="center" textRotation="90" wrapText="1"/>
    </xf>
    <xf numFmtId="4" fontId="6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textRotation="90" wrapText="1"/>
    </xf>
    <xf numFmtId="4" fontId="9" fillId="0" borderId="8" xfId="0" applyNumberFormat="1" applyFont="1" applyFill="1" applyBorder="1" applyAlignment="1">
      <alignment horizontal="center" vertical="center" textRotation="90" wrapText="1"/>
    </xf>
    <xf numFmtId="4" fontId="9" fillId="0" borderId="10" xfId="0" applyNumberFormat="1" applyFont="1" applyFill="1" applyBorder="1" applyAlignment="1">
      <alignment horizontal="center" vertical="center" textRotation="90" wrapText="1"/>
    </xf>
    <xf numFmtId="4" fontId="24" fillId="0" borderId="11" xfId="0" applyNumberFormat="1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center" vertical="center" textRotation="90" wrapText="1"/>
    </xf>
    <xf numFmtId="4" fontId="24" fillId="0" borderId="12" xfId="0" applyNumberFormat="1" applyFont="1" applyFill="1" applyBorder="1" applyAlignment="1">
      <alignment horizontal="center" vertical="center" textRotation="90" wrapText="1"/>
    </xf>
    <xf numFmtId="4" fontId="24" fillId="0" borderId="13" xfId="0" applyNumberFormat="1" applyFont="1" applyFill="1" applyBorder="1" applyAlignment="1">
      <alignment horizontal="center" vertical="center" textRotation="90" wrapText="1"/>
    </xf>
    <xf numFmtId="4" fontId="24" fillId="0" borderId="3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915866</xdr:colOff>
      <xdr:row>3</xdr:row>
      <xdr:rowOff>1942353</xdr:rowOff>
    </xdr:from>
    <xdr:to>
      <xdr:col>29</xdr:col>
      <xdr:colOff>504265</xdr:colOff>
      <xdr:row>10</xdr:row>
      <xdr:rowOff>1479175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788640F1-BB1C-4C3B-80A9-BF2B8E0479F7}"/>
            </a:ext>
          </a:extLst>
        </xdr:cNvPr>
        <xdr:cNvSpPr txBox="1"/>
      </xdr:nvSpPr>
      <xdr:spPr>
        <a:xfrm>
          <a:off x="61546154" y="3810718"/>
          <a:ext cx="36003207" cy="11479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УТВЕРЖДЕН</a:t>
          </a:r>
          <a:endParaRPr lang="ru-RU" sz="10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постановлением Администрации</a:t>
          </a:r>
          <a:endParaRPr lang="ru-RU" sz="10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Курской области</a:t>
          </a:r>
          <a:r>
            <a:rPr lang="ru-RU" sz="10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r>
            <a:rPr lang="ru-RU" sz="10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от 15.04.2019 № 328-па  </a:t>
          </a:r>
        </a:p>
        <a:p>
          <a:r>
            <a:rPr lang="ru-RU" sz="10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(в редакции постановления </a:t>
          </a:r>
        </a:p>
        <a:p>
          <a:r>
            <a:rPr lang="ru-RU" sz="10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Правительства Курской области</a:t>
          </a:r>
          <a:endParaRPr lang="ru-RU" sz="10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от ______________</a:t>
          </a:r>
          <a:r>
            <a:rPr lang="ru-RU" sz="10000" b="0" u="none" baseline="0">
              <a:latin typeface="Arial" panose="020B0604020202020204" pitchFamily="34" charset="0"/>
              <a:cs typeface="Arial" panose="020B0604020202020204" pitchFamily="34" charset="0"/>
            </a:rPr>
            <a:t>________</a:t>
          </a:r>
          <a:r>
            <a:rPr lang="ru-RU" sz="10000" b="0">
              <a:latin typeface="Arial" panose="020B0604020202020204" pitchFamily="34" charset="0"/>
              <a:cs typeface="Arial" panose="020B0604020202020204" pitchFamily="34" charset="0"/>
            </a:rPr>
            <a:t>№_______________)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H2293"/>
  <sheetViews>
    <sheetView tabSelected="1" view="pageBreakPreview" zoomScale="19" zoomScaleNormal="15" zoomScaleSheetLayoutView="19" zoomScalePageLayoutView="20" workbookViewId="0">
      <selection activeCell="X28" sqref="X28"/>
    </sheetView>
  </sheetViews>
  <sheetFormatPr defaultRowHeight="49.5" x14ac:dyDescent="0.65"/>
  <cols>
    <col min="1" max="1" width="13.140625" style="2" customWidth="1"/>
    <col min="2" max="2" width="255.7109375" style="2" hidden="1" customWidth="1"/>
    <col min="3" max="3" width="182.7109375" style="87" customWidth="1"/>
    <col min="4" max="4" width="30.85546875" style="48" customWidth="1"/>
    <col min="5" max="5" width="58.140625" style="7" customWidth="1"/>
    <col min="6" max="6" width="61.28515625" style="7" customWidth="1"/>
    <col min="7" max="7" width="62.42578125" style="7" customWidth="1"/>
    <col min="8" max="8" width="22.5703125" style="62" customWidth="1"/>
    <col min="9" max="9" width="21.42578125" style="3" hidden="1" customWidth="1"/>
    <col min="10" max="10" width="55.85546875" style="4" customWidth="1"/>
    <col min="11" max="11" width="57.7109375" style="4" customWidth="1"/>
    <col min="12" max="12" width="58.140625" style="4" customWidth="1"/>
    <col min="13" max="13" width="59.5703125" style="4" customWidth="1"/>
    <col min="14" max="14" width="59.5703125" style="10" customWidth="1"/>
    <col min="15" max="15" width="59.5703125" style="4" customWidth="1"/>
    <col min="16" max="16" width="53.85546875" style="4" customWidth="1"/>
    <col min="17" max="17" width="54.28515625" style="4" customWidth="1"/>
    <col min="18" max="18" width="61" style="4" customWidth="1"/>
    <col min="19" max="19" width="56.7109375" style="4" customWidth="1"/>
    <col min="20" max="20" width="58.140625" style="4" customWidth="1"/>
    <col min="21" max="21" width="52" style="4" customWidth="1"/>
    <col min="22" max="22" width="78.42578125" style="7" customWidth="1"/>
    <col min="23" max="23" width="49.7109375" style="3" customWidth="1"/>
    <col min="24" max="24" width="54.140625" style="4" customWidth="1"/>
    <col min="25" max="25" width="49.7109375" style="4" customWidth="1"/>
    <col min="26" max="26" width="22.42578125" style="75" customWidth="1"/>
    <col min="27" max="27" width="53.140625" style="4" customWidth="1"/>
    <col min="28" max="28" width="9.140625" style="1" hidden="1" customWidth="1"/>
    <col min="29" max="34" width="9.140625" style="1"/>
  </cols>
  <sheetData>
    <row r="4" spans="1:27" s="1" customFormat="1" ht="186" customHeight="1" x14ac:dyDescent="0.4">
      <c r="A4" s="2"/>
      <c r="B4" s="2"/>
      <c r="C4" s="87"/>
      <c r="D4" s="48"/>
      <c r="E4" s="7"/>
      <c r="F4" s="7"/>
      <c r="G4" s="7"/>
      <c r="H4" s="62"/>
      <c r="I4" s="3"/>
      <c r="J4" s="4"/>
      <c r="K4" s="4"/>
      <c r="L4" s="4"/>
      <c r="M4" s="5"/>
      <c r="N4" s="8"/>
      <c r="O4" s="5"/>
      <c r="P4" s="5"/>
      <c r="Q4" s="5"/>
      <c r="R4" s="5"/>
      <c r="S4" s="5"/>
      <c r="T4" s="40"/>
      <c r="U4" s="133"/>
      <c r="V4" s="133"/>
      <c r="W4" s="133"/>
      <c r="X4" s="133"/>
      <c r="Y4" s="133"/>
      <c r="Z4" s="134"/>
      <c r="AA4" s="133"/>
    </row>
    <row r="5" spans="1:27" s="1" customFormat="1" ht="26.25" customHeight="1" x14ac:dyDescent="0.4">
      <c r="A5" s="2"/>
      <c r="B5" s="2"/>
      <c r="C5" s="87"/>
      <c r="D5" s="48"/>
      <c r="E5" s="7"/>
      <c r="F5" s="7"/>
      <c r="G5" s="7"/>
      <c r="H5" s="62"/>
      <c r="I5" s="3"/>
      <c r="J5" s="4"/>
      <c r="K5" s="4"/>
      <c r="L5" s="4"/>
      <c r="M5" s="5"/>
      <c r="N5" s="8"/>
      <c r="O5" s="5"/>
      <c r="P5" s="5"/>
      <c r="Q5" s="5"/>
      <c r="R5" s="5"/>
      <c r="S5" s="5"/>
      <c r="T5" s="40"/>
      <c r="U5" s="133"/>
      <c r="V5" s="133"/>
      <c r="W5" s="133"/>
      <c r="X5" s="133"/>
      <c r="Y5" s="133"/>
      <c r="Z5" s="134"/>
      <c r="AA5" s="133"/>
    </row>
    <row r="6" spans="1:27" s="1" customFormat="1" ht="26.25" customHeight="1" x14ac:dyDescent="0.4">
      <c r="A6" s="2"/>
      <c r="B6" s="2"/>
      <c r="C6" s="87"/>
      <c r="D6" s="48"/>
      <c r="E6" s="7"/>
      <c r="F6" s="7"/>
      <c r="G6" s="7"/>
      <c r="H6" s="62"/>
      <c r="I6" s="3"/>
      <c r="J6" s="4"/>
      <c r="K6" s="4"/>
      <c r="L6" s="4"/>
      <c r="M6" s="6"/>
      <c r="N6" s="9"/>
      <c r="O6" s="6"/>
      <c r="P6" s="6"/>
      <c r="Q6" s="6"/>
      <c r="R6" s="6"/>
      <c r="S6" s="6"/>
      <c r="T6" s="40"/>
      <c r="U6" s="133"/>
      <c r="V6" s="133"/>
      <c r="W6" s="133"/>
      <c r="X6" s="133"/>
      <c r="Y6" s="133"/>
      <c r="Z6" s="134"/>
      <c r="AA6" s="133"/>
    </row>
    <row r="7" spans="1:27" s="1" customFormat="1" ht="41.25" customHeight="1" x14ac:dyDescent="0.4">
      <c r="A7" s="2"/>
      <c r="B7" s="2"/>
      <c r="C7" s="87"/>
      <c r="D7" s="48"/>
      <c r="E7" s="7"/>
      <c r="F7" s="7"/>
      <c r="G7" s="7"/>
      <c r="H7" s="62"/>
      <c r="I7" s="3"/>
      <c r="J7" s="4"/>
      <c r="K7" s="4"/>
      <c r="L7" s="4"/>
      <c r="M7" s="5"/>
      <c r="N7" s="8"/>
      <c r="O7" s="5"/>
      <c r="P7" s="5"/>
      <c r="Q7" s="5"/>
      <c r="R7" s="5"/>
      <c r="S7" s="5"/>
      <c r="T7" s="5"/>
      <c r="U7" s="133"/>
      <c r="V7" s="133"/>
      <c r="W7" s="133"/>
      <c r="X7" s="133"/>
      <c r="Y7" s="133"/>
      <c r="Z7" s="134"/>
      <c r="AA7" s="133"/>
    </row>
    <row r="8" spans="1:27" s="1" customFormat="1" ht="409.6" customHeight="1" x14ac:dyDescent="0.4">
      <c r="A8" s="2"/>
      <c r="B8" s="2"/>
      <c r="C8" s="87"/>
      <c r="D8" s="48"/>
      <c r="E8" s="7"/>
      <c r="F8" s="7"/>
      <c r="G8" s="7"/>
      <c r="H8" s="62"/>
      <c r="I8" s="3"/>
      <c r="J8" s="4"/>
      <c r="K8" s="4"/>
      <c r="L8" s="4"/>
      <c r="M8" s="5"/>
      <c r="N8" s="8"/>
      <c r="O8" s="5"/>
      <c r="P8" s="5"/>
      <c r="Q8" s="5"/>
      <c r="R8" s="5"/>
      <c r="S8" s="5"/>
      <c r="T8" s="5"/>
      <c r="U8" s="133"/>
      <c r="V8" s="133"/>
      <c r="W8" s="133"/>
      <c r="X8" s="133"/>
      <c r="Y8" s="133"/>
      <c r="Z8" s="134"/>
      <c r="AA8" s="133"/>
    </row>
    <row r="9" spans="1:27" s="1" customFormat="1" ht="127.5" customHeight="1" x14ac:dyDescent="0.4">
      <c r="A9" s="2"/>
      <c r="B9" s="2"/>
      <c r="C9" s="88"/>
      <c r="D9" s="48"/>
      <c r="E9" s="7"/>
      <c r="F9" s="7"/>
      <c r="G9" s="7"/>
      <c r="H9" s="62"/>
      <c r="I9" s="3"/>
      <c r="J9" s="4"/>
      <c r="K9" s="4"/>
      <c r="L9" s="4"/>
      <c r="M9" s="5"/>
      <c r="N9" s="8"/>
      <c r="O9" s="5"/>
      <c r="P9" s="5"/>
      <c r="Q9" s="5"/>
      <c r="R9" s="5"/>
      <c r="S9" s="5"/>
      <c r="T9" s="5"/>
      <c r="U9" s="100"/>
      <c r="V9" s="100"/>
      <c r="W9" s="100"/>
      <c r="X9" s="100"/>
      <c r="Y9" s="100"/>
      <c r="Z9" s="101"/>
      <c r="AA9" s="100"/>
    </row>
    <row r="10" spans="1:27" s="1" customFormat="1" ht="127.5" customHeight="1" x14ac:dyDescent="0.4">
      <c r="A10" s="2"/>
      <c r="B10" s="2"/>
      <c r="C10" s="88"/>
      <c r="D10" s="48"/>
      <c r="E10" s="7"/>
      <c r="F10" s="7"/>
      <c r="G10" s="7"/>
      <c r="H10" s="62"/>
      <c r="I10" s="3"/>
      <c r="J10" s="4"/>
      <c r="K10" s="4"/>
      <c r="L10" s="4"/>
      <c r="M10" s="5"/>
      <c r="N10" s="8"/>
      <c r="O10" s="5"/>
      <c r="P10" s="5"/>
      <c r="Q10" s="5"/>
      <c r="R10" s="5"/>
      <c r="S10" s="5"/>
      <c r="T10" s="5"/>
      <c r="U10" s="100"/>
      <c r="V10" s="100"/>
      <c r="W10" s="100"/>
      <c r="X10" s="100"/>
      <c r="Y10" s="100"/>
      <c r="Z10" s="101"/>
      <c r="AA10" s="100"/>
    </row>
    <row r="11" spans="1:27" s="1" customFormat="1" ht="123" customHeight="1" x14ac:dyDescent="0.4">
      <c r="A11" s="2"/>
      <c r="B11" s="2"/>
      <c r="C11" s="87"/>
      <c r="D11" s="48"/>
      <c r="E11" s="7"/>
      <c r="F11" s="7"/>
      <c r="G11" s="7"/>
      <c r="H11" s="62"/>
      <c r="I11" s="3"/>
      <c r="J11" s="4"/>
      <c r="K11" s="4"/>
      <c r="L11" s="4"/>
      <c r="M11" s="5"/>
      <c r="N11" s="86" t="s">
        <v>407</v>
      </c>
      <c r="O11" s="5"/>
      <c r="P11" s="5"/>
      <c r="Q11" s="5"/>
      <c r="R11" s="5"/>
      <c r="S11" s="5"/>
      <c r="T11" s="5"/>
      <c r="U11" s="100"/>
      <c r="V11" s="100"/>
      <c r="W11" s="100"/>
      <c r="X11" s="100"/>
      <c r="Y11" s="100"/>
      <c r="Z11" s="101"/>
      <c r="AA11" s="100"/>
    </row>
    <row r="12" spans="1:27" s="64" customFormat="1" ht="84.75" customHeight="1" x14ac:dyDescent="0.25">
      <c r="A12" s="102" t="s">
        <v>1171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7" s="1" customFormat="1" ht="51" customHeight="1" x14ac:dyDescent="0.25">
      <c r="A13" s="65"/>
      <c r="B13" s="65"/>
      <c r="C13" s="65"/>
      <c r="D13" s="60"/>
      <c r="E13" s="73"/>
      <c r="F13" s="73"/>
      <c r="G13" s="73"/>
      <c r="H13" s="61"/>
      <c r="I13" s="66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67"/>
      <c r="W13" s="60"/>
      <c r="X13" s="68"/>
      <c r="Y13" s="68"/>
      <c r="Z13" s="76"/>
      <c r="AA13" s="68"/>
    </row>
    <row r="14" spans="1:27" s="1" customFormat="1" ht="93.75" customHeight="1" x14ac:dyDescent="0.25">
      <c r="A14" s="116" t="s">
        <v>0</v>
      </c>
      <c r="B14" s="130" t="s">
        <v>610</v>
      </c>
      <c r="C14" s="119" t="s">
        <v>1</v>
      </c>
      <c r="D14" s="122" t="s">
        <v>2</v>
      </c>
      <c r="E14" s="135" t="s">
        <v>3</v>
      </c>
      <c r="F14" s="135" t="s">
        <v>4</v>
      </c>
      <c r="G14" s="135" t="s">
        <v>5</v>
      </c>
      <c r="H14" s="125" t="s">
        <v>259</v>
      </c>
      <c r="I14" s="125" t="s">
        <v>247</v>
      </c>
      <c r="J14" s="138" t="s">
        <v>264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13" t="s">
        <v>260</v>
      </c>
      <c r="W14" s="110" t="s">
        <v>240</v>
      </c>
      <c r="X14" s="105" t="s">
        <v>241</v>
      </c>
      <c r="Y14" s="106"/>
      <c r="Z14" s="107"/>
      <c r="AA14" s="108"/>
    </row>
    <row r="15" spans="1:27" s="1" customFormat="1" ht="200.25" customHeight="1" x14ac:dyDescent="0.25">
      <c r="A15" s="117"/>
      <c r="B15" s="131"/>
      <c r="C15" s="120"/>
      <c r="D15" s="123"/>
      <c r="E15" s="136"/>
      <c r="F15" s="136"/>
      <c r="G15" s="136"/>
      <c r="H15" s="126"/>
      <c r="I15" s="126"/>
      <c r="J15" s="142" t="s">
        <v>6</v>
      </c>
      <c r="K15" s="128" t="s">
        <v>7</v>
      </c>
      <c r="L15" s="128" t="s">
        <v>8</v>
      </c>
      <c r="M15" s="140" t="s">
        <v>9</v>
      </c>
      <c r="N15" s="139" t="s">
        <v>10</v>
      </c>
      <c r="O15" s="139" t="s">
        <v>11</v>
      </c>
      <c r="P15" s="128" t="s">
        <v>12</v>
      </c>
      <c r="Q15" s="128" t="s">
        <v>13</v>
      </c>
      <c r="R15" s="128" t="s">
        <v>14</v>
      </c>
      <c r="S15" s="128" t="s">
        <v>15</v>
      </c>
      <c r="T15" s="128" t="s">
        <v>16</v>
      </c>
      <c r="U15" s="128" t="s">
        <v>17</v>
      </c>
      <c r="V15" s="114"/>
      <c r="W15" s="111"/>
      <c r="X15" s="105" t="s">
        <v>242</v>
      </c>
      <c r="Y15" s="109"/>
      <c r="Z15" s="122" t="s">
        <v>243</v>
      </c>
      <c r="AA15" s="103" t="s">
        <v>261</v>
      </c>
    </row>
    <row r="16" spans="1:27" s="1" customFormat="1" ht="392.25" customHeight="1" x14ac:dyDescent="0.25">
      <c r="A16" s="117"/>
      <c r="B16" s="131"/>
      <c r="C16" s="120"/>
      <c r="D16" s="123"/>
      <c r="E16" s="136"/>
      <c r="F16" s="136"/>
      <c r="G16" s="136"/>
      <c r="H16" s="126"/>
      <c r="I16" s="126"/>
      <c r="J16" s="128"/>
      <c r="K16" s="128"/>
      <c r="L16" s="128"/>
      <c r="M16" s="140"/>
      <c r="N16" s="139"/>
      <c r="O16" s="139"/>
      <c r="P16" s="128"/>
      <c r="Q16" s="128"/>
      <c r="R16" s="128"/>
      <c r="S16" s="128"/>
      <c r="T16" s="128"/>
      <c r="U16" s="128"/>
      <c r="V16" s="114"/>
      <c r="W16" s="112"/>
      <c r="X16" s="82" t="s">
        <v>1150</v>
      </c>
      <c r="Y16" s="82" t="s">
        <v>244</v>
      </c>
      <c r="Z16" s="124"/>
      <c r="AA16" s="104"/>
    </row>
    <row r="17" spans="1:27" s="1" customFormat="1" ht="183.75" customHeight="1" x14ac:dyDescent="0.25">
      <c r="A17" s="118"/>
      <c r="B17" s="132"/>
      <c r="C17" s="121"/>
      <c r="D17" s="124"/>
      <c r="E17" s="137"/>
      <c r="F17" s="137"/>
      <c r="G17" s="137"/>
      <c r="H17" s="127"/>
      <c r="I17" s="127"/>
      <c r="J17" s="129"/>
      <c r="K17" s="129"/>
      <c r="L17" s="129"/>
      <c r="M17" s="141"/>
      <c r="N17" s="139"/>
      <c r="O17" s="139"/>
      <c r="P17" s="129"/>
      <c r="Q17" s="129"/>
      <c r="R17" s="129"/>
      <c r="S17" s="129"/>
      <c r="T17" s="129"/>
      <c r="U17" s="129"/>
      <c r="V17" s="115"/>
      <c r="W17" s="84" t="s">
        <v>245</v>
      </c>
      <c r="X17" s="69" t="s">
        <v>246</v>
      </c>
      <c r="Y17" s="11" t="s">
        <v>246</v>
      </c>
      <c r="Z17" s="77" t="s">
        <v>246</v>
      </c>
      <c r="AA17" s="11" t="s">
        <v>246</v>
      </c>
    </row>
    <row r="18" spans="1:27" s="1" customFormat="1" ht="66.75" customHeight="1" x14ac:dyDescent="0.8">
      <c r="A18" s="17"/>
      <c r="B18" s="17"/>
      <c r="C18" s="89" t="s">
        <v>235</v>
      </c>
      <c r="D18" s="21"/>
      <c r="E18" s="26"/>
      <c r="F18" s="26"/>
      <c r="G18" s="26"/>
      <c r="H18" s="17"/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20"/>
      <c r="X18" s="70"/>
      <c r="Y18" s="70"/>
      <c r="Z18" s="78"/>
      <c r="AA18" s="70"/>
    </row>
    <row r="19" spans="1:27" s="12" customFormat="1" ht="72" customHeight="1" x14ac:dyDescent="0.25">
      <c r="A19" s="17" t="str">
        <f>IF(OR(D19=0,D19=""),"",COUNTA($D$19:D19))</f>
        <v/>
      </c>
      <c r="B19" s="17"/>
      <c r="C19" s="89" t="s">
        <v>1176</v>
      </c>
      <c r="D19" s="43"/>
      <c r="E19" s="16"/>
      <c r="F19" s="16"/>
      <c r="G19" s="16"/>
      <c r="H19" s="17"/>
      <c r="I19" s="1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5"/>
      <c r="V19" s="26"/>
      <c r="W19" s="20"/>
      <c r="X19" s="37"/>
      <c r="Y19" s="37"/>
      <c r="Z19" s="20"/>
      <c r="AA19" s="19"/>
    </row>
    <row r="20" spans="1:27" s="12" customFormat="1" ht="93.75" customHeight="1" x14ac:dyDescent="0.25">
      <c r="A20" s="17">
        <f>IF(OR(D20=0,D20=""),"",COUNTA($D$19:D20))</f>
        <v>1</v>
      </c>
      <c r="B20" s="17" t="s">
        <v>615</v>
      </c>
      <c r="C20" s="90" t="s">
        <v>18</v>
      </c>
      <c r="D20" s="43">
        <v>1970</v>
      </c>
      <c r="E20" s="16">
        <v>992.8</v>
      </c>
      <c r="F20" s="16">
        <v>782.8</v>
      </c>
      <c r="G20" s="16">
        <v>0</v>
      </c>
      <c r="H20" s="17" t="s">
        <v>250</v>
      </c>
      <c r="I20" s="15"/>
      <c r="J20" s="16"/>
      <c r="K20" s="16"/>
      <c r="L20" s="16"/>
      <c r="M20" s="16"/>
      <c r="N20" s="16"/>
      <c r="O20" s="16"/>
      <c r="P20" s="16">
        <f>E20*1919</f>
        <v>1905183.2</v>
      </c>
      <c r="Q20" s="16"/>
      <c r="R20" s="16">
        <f>E20*1853</f>
        <v>1839658.4</v>
      </c>
      <c r="S20" s="16"/>
      <c r="T20" s="16"/>
      <c r="U20" s="16"/>
      <c r="V20" s="19">
        <f t="shared" ref="V20:V21" si="0">J20+K20+L20+M20+N20+O20+P20+Q20+R20+S20+T20+U20</f>
        <v>3744841.5999999996</v>
      </c>
      <c r="W20" s="20" t="s">
        <v>1173</v>
      </c>
      <c r="X20" s="37">
        <v>0</v>
      </c>
      <c r="Y20" s="37">
        <v>0</v>
      </c>
      <c r="Z20" s="79">
        <v>0</v>
      </c>
      <c r="AA20" s="19">
        <f>V20-(X20+Y20+Z20)</f>
        <v>3744841.5999999996</v>
      </c>
    </row>
    <row r="21" spans="1:27" s="12" customFormat="1" ht="93.75" customHeight="1" x14ac:dyDescent="0.25">
      <c r="A21" s="17">
        <f>IF(OR(D21=0,D21=""),"",COUNTA($D$19:D21))</f>
        <v>2</v>
      </c>
      <c r="B21" s="17" t="s">
        <v>617</v>
      </c>
      <c r="C21" s="90" t="s">
        <v>306</v>
      </c>
      <c r="D21" s="43">
        <v>1970</v>
      </c>
      <c r="E21" s="16">
        <v>774.9</v>
      </c>
      <c r="F21" s="16">
        <v>714.2</v>
      </c>
      <c r="G21" s="16">
        <v>0</v>
      </c>
      <c r="H21" s="17" t="s">
        <v>250</v>
      </c>
      <c r="I21" s="15"/>
      <c r="J21" s="16"/>
      <c r="K21" s="16"/>
      <c r="L21" s="16"/>
      <c r="M21" s="16"/>
      <c r="N21" s="16"/>
      <c r="O21" s="16"/>
      <c r="P21" s="16">
        <f>E21*1919</f>
        <v>1487033.0999999999</v>
      </c>
      <c r="Q21" s="16"/>
      <c r="R21" s="16">
        <f>E21*1853</f>
        <v>1435889.7</v>
      </c>
      <c r="S21" s="16"/>
      <c r="T21" s="16"/>
      <c r="U21" s="16"/>
      <c r="V21" s="19">
        <f t="shared" si="0"/>
        <v>2922922.8</v>
      </c>
      <c r="W21" s="20" t="s">
        <v>1173</v>
      </c>
      <c r="X21" s="37">
        <v>0</v>
      </c>
      <c r="Y21" s="37">
        <v>0</v>
      </c>
      <c r="Z21" s="79">
        <v>0</v>
      </c>
      <c r="AA21" s="19">
        <f>V21-(X21+Y21+Z21)</f>
        <v>2922922.8</v>
      </c>
    </row>
    <row r="22" spans="1:27" s="13" customFormat="1" ht="93.75" customHeight="1" x14ac:dyDescent="0.25">
      <c r="A22" s="17" t="str">
        <f>IF(OR(D22=0,D22=""),"",COUNTA($D$19:D22))</f>
        <v/>
      </c>
      <c r="B22" s="17"/>
      <c r="C22" s="89"/>
      <c r="D22" s="21"/>
      <c r="E22" s="26">
        <f>SUM(E20:E21)</f>
        <v>1767.6999999999998</v>
      </c>
      <c r="F22" s="26">
        <f>SUM(F20:F21)</f>
        <v>1497</v>
      </c>
      <c r="G22" s="26">
        <f>SUM(G20:G21)</f>
        <v>0</v>
      </c>
      <c r="H22" s="17"/>
      <c r="I22" s="1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7"/>
      <c r="V22" s="26">
        <f>SUM(V20:V21)</f>
        <v>6667764.3999999994</v>
      </c>
      <c r="W22" s="26"/>
      <c r="X22" s="26">
        <f t="shared" ref="X22:Z22" si="1">SUM(X20:X21)</f>
        <v>0</v>
      </c>
      <c r="Y22" s="26">
        <f t="shared" si="1"/>
        <v>0</v>
      </c>
      <c r="Z22" s="80">
        <f t="shared" si="1"/>
        <v>0</v>
      </c>
      <c r="AA22" s="28">
        <f>V22-(X22+Y22+Z22)</f>
        <v>6667764.3999999994</v>
      </c>
    </row>
    <row r="23" spans="1:27" s="12" customFormat="1" ht="93.75" customHeight="1" x14ac:dyDescent="0.25">
      <c r="A23" s="17" t="str">
        <f>IF(OR(D23=0,D23=""),"",COUNTA($D$19:D23))</f>
        <v/>
      </c>
      <c r="B23" s="17"/>
      <c r="C23" s="89" t="s">
        <v>1177</v>
      </c>
      <c r="D23" s="43"/>
      <c r="E23" s="16"/>
      <c r="F23" s="16"/>
      <c r="G23" s="16"/>
      <c r="H23" s="17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  <c r="W23" s="20"/>
      <c r="X23" s="37"/>
      <c r="Y23" s="37"/>
      <c r="Z23" s="20"/>
      <c r="AA23" s="19"/>
    </row>
    <row r="24" spans="1:27" s="12" customFormat="1" ht="93.75" customHeight="1" x14ac:dyDescent="0.25">
      <c r="A24" s="17">
        <f>IF(OR(D24=0,D24=""),"",COUNTA($D$19:D24))</f>
        <v>3</v>
      </c>
      <c r="B24" s="17" t="s">
        <v>619</v>
      </c>
      <c r="C24" s="90" t="s">
        <v>320</v>
      </c>
      <c r="D24" s="43">
        <v>1983</v>
      </c>
      <c r="E24" s="16">
        <v>3330</v>
      </c>
      <c r="F24" s="16">
        <v>2730</v>
      </c>
      <c r="G24" s="16">
        <v>0</v>
      </c>
      <c r="H24" s="17" t="s">
        <v>257</v>
      </c>
      <c r="I24" s="15"/>
      <c r="J24" s="16"/>
      <c r="K24" s="16"/>
      <c r="L24" s="16"/>
      <c r="M24" s="16"/>
      <c r="N24" s="16"/>
      <c r="O24" s="16"/>
      <c r="P24" s="16">
        <f>1972*E24</f>
        <v>6566760</v>
      </c>
      <c r="Q24" s="16"/>
      <c r="R24" s="16"/>
      <c r="S24" s="16"/>
      <c r="T24" s="16"/>
      <c r="U24" s="16"/>
      <c r="V24" s="19">
        <f t="shared" ref="V24" si="2">J24+K24+L24+M24+N24+O24+P24+Q24+R24+S24+T24+U24</f>
        <v>6566760</v>
      </c>
      <c r="W24" s="20" t="s">
        <v>1173</v>
      </c>
      <c r="X24" s="37">
        <v>0</v>
      </c>
      <c r="Y24" s="37">
        <v>0</v>
      </c>
      <c r="Z24" s="79">
        <v>0</v>
      </c>
      <c r="AA24" s="19">
        <f>V24-(X24+Y24+Z24)</f>
        <v>6566760</v>
      </c>
    </row>
    <row r="25" spans="1:27" s="13" customFormat="1" ht="84.75" customHeight="1" x14ac:dyDescent="0.25">
      <c r="A25" s="17" t="str">
        <f>IF(OR(D25=0,D25=""),"",COUNTA($D$19:D25))</f>
        <v/>
      </c>
      <c r="B25" s="17"/>
      <c r="C25" s="89"/>
      <c r="D25" s="21"/>
      <c r="E25" s="26">
        <f>SUM(E24:E24)</f>
        <v>3330</v>
      </c>
      <c r="F25" s="26">
        <f>SUM(F24:F24)</f>
        <v>2730</v>
      </c>
      <c r="G25" s="26">
        <f>SUM(G24:G24)</f>
        <v>0</v>
      </c>
      <c r="H25" s="17"/>
      <c r="I25" s="1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17"/>
      <c r="V25" s="26">
        <f>SUM(V24:V24)</f>
        <v>6566760</v>
      </c>
      <c r="W25" s="26"/>
      <c r="X25" s="26">
        <f t="shared" ref="X25:Z25" si="3">SUM(X24:X24)</f>
        <v>0</v>
      </c>
      <c r="Y25" s="26">
        <f t="shared" si="3"/>
        <v>0</v>
      </c>
      <c r="Z25" s="80">
        <f t="shared" si="3"/>
        <v>0</v>
      </c>
      <c r="AA25" s="28">
        <f>V25-(X25+Y25+Z25)</f>
        <v>6566760</v>
      </c>
    </row>
    <row r="26" spans="1:27" s="12" customFormat="1" ht="93.75" customHeight="1" x14ac:dyDescent="0.25">
      <c r="A26" s="17" t="str">
        <f>IF(OR(D26=0,D26=""),"",COUNTA($D$19:D26))</f>
        <v/>
      </c>
      <c r="B26" s="17"/>
      <c r="C26" s="89" t="s">
        <v>1210</v>
      </c>
      <c r="D26" s="43"/>
      <c r="E26" s="16"/>
      <c r="F26" s="16"/>
      <c r="G26" s="16"/>
      <c r="H26" s="17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9"/>
      <c r="W26" s="20"/>
      <c r="X26" s="37"/>
      <c r="Y26" s="37"/>
      <c r="Z26" s="20"/>
      <c r="AA26" s="19"/>
    </row>
    <row r="27" spans="1:27" s="12" customFormat="1" ht="93.75" customHeight="1" x14ac:dyDescent="0.25">
      <c r="A27" s="17">
        <f>IF(OR(D27=0,D27=""),"",COUNTA($D$19:D27))</f>
        <v>4</v>
      </c>
      <c r="B27" s="17" t="s">
        <v>643</v>
      </c>
      <c r="C27" s="90" t="s">
        <v>453</v>
      </c>
      <c r="D27" s="43">
        <v>1987</v>
      </c>
      <c r="E27" s="16">
        <v>2289.5</v>
      </c>
      <c r="F27" s="16">
        <v>1958.4</v>
      </c>
      <c r="G27" s="16">
        <v>0</v>
      </c>
      <c r="H27" s="17" t="s">
        <v>255</v>
      </c>
      <c r="I27" s="15">
        <v>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>48*E27</f>
        <v>109896</v>
      </c>
      <c r="U27" s="15"/>
      <c r="V27" s="19">
        <f t="shared" ref="V27:V55" si="4">J27+K27+L27+M27+N27+O27+P27+Q27+R27+S27+T27+U27</f>
        <v>109896</v>
      </c>
      <c r="W27" s="20" t="s">
        <v>1173</v>
      </c>
      <c r="X27" s="37">
        <v>0</v>
      </c>
      <c r="Y27" s="37">
        <v>0</v>
      </c>
      <c r="Z27" s="79">
        <v>0</v>
      </c>
      <c r="AA27" s="19">
        <f t="shared" ref="AA27:AA56" si="5">V27-(X27+Y27+Z27)</f>
        <v>109896</v>
      </c>
    </row>
    <row r="28" spans="1:27" s="12" customFormat="1" ht="93.75" customHeight="1" x14ac:dyDescent="0.25">
      <c r="A28" s="17">
        <f>IF(OR(D28=0,D28=""),"",COUNTA($D$19:D28))</f>
        <v>5</v>
      </c>
      <c r="B28" s="17" t="s">
        <v>1153</v>
      </c>
      <c r="C28" s="90" t="s">
        <v>19</v>
      </c>
      <c r="D28" s="43">
        <v>1961</v>
      </c>
      <c r="E28" s="16">
        <v>1837.9</v>
      </c>
      <c r="F28" s="16">
        <v>758.1</v>
      </c>
      <c r="G28" s="16">
        <v>0</v>
      </c>
      <c r="H28" s="17" t="s">
        <v>254</v>
      </c>
      <c r="I28" s="15"/>
      <c r="J28" s="16">
        <f>E28*340</f>
        <v>624886</v>
      </c>
      <c r="K28" s="16">
        <f>E28*577</f>
        <v>1060468.3</v>
      </c>
      <c r="L28" s="16"/>
      <c r="M28" s="16">
        <f>E28*193</f>
        <v>354714.7</v>
      </c>
      <c r="N28" s="16">
        <f>E28*136</f>
        <v>249954.40000000002</v>
      </c>
      <c r="O28" s="16"/>
      <c r="P28" s="16">
        <f>E28*1919</f>
        <v>3526930.1</v>
      </c>
      <c r="Q28" s="16">
        <f>E28*48</f>
        <v>88219.200000000012</v>
      </c>
      <c r="R28" s="16">
        <f>E28*1853</f>
        <v>3405628.7</v>
      </c>
      <c r="S28" s="16">
        <f>E28*114</f>
        <v>209520.6</v>
      </c>
      <c r="T28" s="16"/>
      <c r="U28" s="16">
        <f>(J28+K28+L28+M28+N28+O28+P28+Q28+R28+S28+T28)*0.0214</f>
        <v>203734.89079999999</v>
      </c>
      <c r="V28" s="19">
        <f t="shared" si="4"/>
        <v>9724056.8907999992</v>
      </c>
      <c r="W28" s="20" t="s">
        <v>1173</v>
      </c>
      <c r="X28" s="37">
        <v>0</v>
      </c>
      <c r="Y28" s="37">
        <v>0</v>
      </c>
      <c r="Z28" s="79">
        <v>0</v>
      </c>
      <c r="AA28" s="19">
        <f t="shared" si="5"/>
        <v>9724056.8907999992</v>
      </c>
    </row>
    <row r="29" spans="1:27" s="12" customFormat="1" ht="93.75" customHeight="1" x14ac:dyDescent="0.25">
      <c r="A29" s="17">
        <f>IF(OR(D29=0,D29=""),"",COUNTA($D$19:D29))</f>
        <v>6</v>
      </c>
      <c r="B29" s="17" t="s">
        <v>627</v>
      </c>
      <c r="C29" s="90" t="s">
        <v>20</v>
      </c>
      <c r="D29" s="43">
        <v>1971</v>
      </c>
      <c r="E29" s="16">
        <v>3718.4</v>
      </c>
      <c r="F29" s="16">
        <v>2717.8</v>
      </c>
      <c r="G29" s="16">
        <v>1000.6</v>
      </c>
      <c r="H29" s="17" t="s">
        <v>257</v>
      </c>
      <c r="I29" s="15"/>
      <c r="J29" s="16"/>
      <c r="K29" s="16"/>
      <c r="L29" s="16"/>
      <c r="M29" s="18"/>
      <c r="N29" s="16"/>
      <c r="O29" s="16"/>
      <c r="P29" s="16">
        <f t="shared" ref="P29:P37" si="6">1972*E29</f>
        <v>7332684.7999999998</v>
      </c>
      <c r="Q29" s="16"/>
      <c r="R29" s="16">
        <f>E29*1917</f>
        <v>7128172.7999999998</v>
      </c>
      <c r="S29" s="16"/>
      <c r="T29" s="16"/>
      <c r="U29" s="16"/>
      <c r="V29" s="19">
        <f t="shared" si="4"/>
        <v>14460857.6</v>
      </c>
      <c r="W29" s="20" t="s">
        <v>1173</v>
      </c>
      <c r="X29" s="37">
        <v>0</v>
      </c>
      <c r="Y29" s="37">
        <v>0</v>
      </c>
      <c r="Z29" s="79">
        <v>0</v>
      </c>
      <c r="AA29" s="19">
        <f t="shared" si="5"/>
        <v>14460857.6</v>
      </c>
    </row>
    <row r="30" spans="1:27" s="12" customFormat="1" ht="93.75" customHeight="1" x14ac:dyDescent="0.25">
      <c r="A30" s="17">
        <f>IF(OR(D30=0,D30=""),"",COUNTA($D$19:D30))</f>
        <v>7</v>
      </c>
      <c r="B30" s="17" t="s">
        <v>646</v>
      </c>
      <c r="C30" s="90" t="s">
        <v>362</v>
      </c>
      <c r="D30" s="43">
        <v>1969</v>
      </c>
      <c r="E30" s="16">
        <v>9643.5</v>
      </c>
      <c r="F30" s="16">
        <v>3951.5</v>
      </c>
      <c r="G30" s="16">
        <v>13.4</v>
      </c>
      <c r="H30" s="17" t="s">
        <v>257</v>
      </c>
      <c r="I30" s="15"/>
      <c r="J30" s="16"/>
      <c r="K30" s="16"/>
      <c r="L30" s="16"/>
      <c r="M30" s="16"/>
      <c r="N30" s="16"/>
      <c r="O30" s="16"/>
      <c r="P30" s="16">
        <f t="shared" si="6"/>
        <v>19016982</v>
      </c>
      <c r="Q30" s="16"/>
      <c r="R30" s="16"/>
      <c r="S30" s="16"/>
      <c r="T30" s="16"/>
      <c r="U30" s="16"/>
      <c r="V30" s="19">
        <f t="shared" si="4"/>
        <v>19016982</v>
      </c>
      <c r="W30" s="20" t="s">
        <v>1173</v>
      </c>
      <c r="X30" s="37">
        <v>0</v>
      </c>
      <c r="Y30" s="37">
        <v>0</v>
      </c>
      <c r="Z30" s="79">
        <v>0</v>
      </c>
      <c r="AA30" s="19">
        <f t="shared" si="5"/>
        <v>19016982</v>
      </c>
    </row>
    <row r="31" spans="1:27" s="12" customFormat="1" ht="93.75" customHeight="1" x14ac:dyDescent="0.25">
      <c r="A31" s="17">
        <f>IF(OR(D31=0,D31=""),"",COUNTA($D$19:D31))</f>
        <v>8</v>
      </c>
      <c r="B31" s="17" t="s">
        <v>634</v>
      </c>
      <c r="C31" s="90" t="s">
        <v>24</v>
      </c>
      <c r="D31" s="43">
        <v>1969</v>
      </c>
      <c r="E31" s="16">
        <v>4193.3999999999996</v>
      </c>
      <c r="F31" s="16">
        <v>3479.7</v>
      </c>
      <c r="G31" s="16">
        <v>164.6</v>
      </c>
      <c r="H31" s="17" t="s">
        <v>257</v>
      </c>
      <c r="I31" s="15"/>
      <c r="J31" s="16"/>
      <c r="K31" s="16"/>
      <c r="L31" s="16"/>
      <c r="M31" s="16"/>
      <c r="N31" s="16"/>
      <c r="O31" s="16"/>
      <c r="P31" s="16">
        <f t="shared" si="6"/>
        <v>8269384.7999999989</v>
      </c>
      <c r="Q31" s="16"/>
      <c r="R31" s="16">
        <f t="shared" ref="R31:R37" si="7">E31*1917</f>
        <v>8038747.7999999989</v>
      </c>
      <c r="S31" s="16"/>
      <c r="T31" s="16"/>
      <c r="U31" s="16"/>
      <c r="V31" s="19">
        <f t="shared" si="4"/>
        <v>16308132.599999998</v>
      </c>
      <c r="W31" s="20" t="s">
        <v>1173</v>
      </c>
      <c r="X31" s="37">
        <v>0</v>
      </c>
      <c r="Y31" s="37">
        <v>0</v>
      </c>
      <c r="Z31" s="79">
        <v>0</v>
      </c>
      <c r="AA31" s="19">
        <f t="shared" si="5"/>
        <v>16308132.599999998</v>
      </c>
    </row>
    <row r="32" spans="1:27" s="12" customFormat="1" ht="93.75" customHeight="1" x14ac:dyDescent="0.25">
      <c r="A32" s="17">
        <f>IF(OR(D32=0,D32=""),"",COUNTA($D$19:D32))</f>
        <v>9</v>
      </c>
      <c r="B32" s="17" t="s">
        <v>629</v>
      </c>
      <c r="C32" s="90" t="s">
        <v>22</v>
      </c>
      <c r="D32" s="43">
        <v>1972</v>
      </c>
      <c r="E32" s="16">
        <v>5915.7</v>
      </c>
      <c r="F32" s="16">
        <v>4420.3</v>
      </c>
      <c r="G32" s="16">
        <v>0</v>
      </c>
      <c r="H32" s="17" t="s">
        <v>257</v>
      </c>
      <c r="I32" s="15"/>
      <c r="J32" s="16"/>
      <c r="K32" s="16"/>
      <c r="L32" s="16"/>
      <c r="M32" s="16"/>
      <c r="N32" s="16"/>
      <c r="O32" s="16"/>
      <c r="P32" s="16">
        <f t="shared" si="6"/>
        <v>11665760.4</v>
      </c>
      <c r="Q32" s="16"/>
      <c r="R32" s="16">
        <f t="shared" si="7"/>
        <v>11340396.9</v>
      </c>
      <c r="S32" s="16"/>
      <c r="T32" s="16"/>
      <c r="U32" s="15"/>
      <c r="V32" s="19">
        <f t="shared" si="4"/>
        <v>23006157.300000001</v>
      </c>
      <c r="W32" s="20" t="s">
        <v>1173</v>
      </c>
      <c r="X32" s="37">
        <v>0</v>
      </c>
      <c r="Y32" s="37">
        <v>0</v>
      </c>
      <c r="Z32" s="79">
        <v>0</v>
      </c>
      <c r="AA32" s="19">
        <f t="shared" si="5"/>
        <v>23006157.300000001</v>
      </c>
    </row>
    <row r="33" spans="1:27" s="12" customFormat="1" ht="93.75" customHeight="1" x14ac:dyDescent="0.25">
      <c r="A33" s="17">
        <f>IF(OR(D33=0,D33=""),"",COUNTA($D$19:D33))</f>
        <v>10</v>
      </c>
      <c r="B33" s="17" t="s">
        <v>630</v>
      </c>
      <c r="C33" s="90" t="s">
        <v>23</v>
      </c>
      <c r="D33" s="43">
        <v>1972</v>
      </c>
      <c r="E33" s="16">
        <v>6036.1</v>
      </c>
      <c r="F33" s="16">
        <v>4361.18</v>
      </c>
      <c r="G33" s="16">
        <v>1508.3</v>
      </c>
      <c r="H33" s="17" t="s">
        <v>257</v>
      </c>
      <c r="I33" s="15"/>
      <c r="J33" s="16"/>
      <c r="K33" s="16"/>
      <c r="L33" s="16"/>
      <c r="M33" s="16"/>
      <c r="N33" s="16"/>
      <c r="O33" s="16"/>
      <c r="P33" s="16">
        <f t="shared" si="6"/>
        <v>11903189.200000001</v>
      </c>
      <c r="Q33" s="16"/>
      <c r="R33" s="16">
        <f t="shared" si="7"/>
        <v>11571203.700000001</v>
      </c>
      <c r="S33" s="16"/>
      <c r="T33" s="16"/>
      <c r="U33" s="16"/>
      <c r="V33" s="19">
        <f t="shared" si="4"/>
        <v>23474392.900000002</v>
      </c>
      <c r="W33" s="20" t="s">
        <v>1173</v>
      </c>
      <c r="X33" s="37">
        <v>0</v>
      </c>
      <c r="Y33" s="37">
        <v>0</v>
      </c>
      <c r="Z33" s="79">
        <v>0</v>
      </c>
      <c r="AA33" s="19">
        <f t="shared" si="5"/>
        <v>23474392.900000002</v>
      </c>
    </row>
    <row r="34" spans="1:27" s="12" customFormat="1" ht="93.75" customHeight="1" x14ac:dyDescent="0.25">
      <c r="A34" s="17">
        <f>IF(OR(D34=0,D34=""),"",COUNTA($D$19:D34))</f>
        <v>11</v>
      </c>
      <c r="B34" s="17" t="s">
        <v>649</v>
      </c>
      <c r="C34" s="90" t="s">
        <v>26</v>
      </c>
      <c r="D34" s="43">
        <v>1968</v>
      </c>
      <c r="E34" s="16">
        <v>5923.6</v>
      </c>
      <c r="F34" s="16">
        <v>4390.3999999999996</v>
      </c>
      <c r="G34" s="16">
        <v>1533.2</v>
      </c>
      <c r="H34" s="17" t="s">
        <v>257</v>
      </c>
      <c r="I34" s="15"/>
      <c r="J34" s="16"/>
      <c r="K34" s="16"/>
      <c r="L34" s="16"/>
      <c r="M34" s="16"/>
      <c r="N34" s="16"/>
      <c r="O34" s="16"/>
      <c r="P34" s="16">
        <f t="shared" si="6"/>
        <v>11681339.200000001</v>
      </c>
      <c r="Q34" s="16"/>
      <c r="R34" s="16">
        <f t="shared" si="7"/>
        <v>11355541.200000001</v>
      </c>
      <c r="S34" s="16"/>
      <c r="T34" s="16">
        <f>35*E34</f>
        <v>207326</v>
      </c>
      <c r="U34" s="16">
        <v>375945.57</v>
      </c>
      <c r="V34" s="19">
        <f t="shared" si="4"/>
        <v>23620151.970000003</v>
      </c>
      <c r="W34" s="20" t="s">
        <v>1173</v>
      </c>
      <c r="X34" s="37">
        <v>0</v>
      </c>
      <c r="Y34" s="37">
        <v>0</v>
      </c>
      <c r="Z34" s="79">
        <v>0</v>
      </c>
      <c r="AA34" s="19">
        <f t="shared" si="5"/>
        <v>23620151.970000003</v>
      </c>
    </row>
    <row r="35" spans="1:27" s="12" customFormat="1" ht="93.75" customHeight="1" x14ac:dyDescent="0.25">
      <c r="A35" s="17">
        <f>IF(OR(D35=0,D35=""),"",COUNTA($D$19:D35))</f>
        <v>12</v>
      </c>
      <c r="B35" s="17" t="s">
        <v>647</v>
      </c>
      <c r="C35" s="90" t="s">
        <v>25</v>
      </c>
      <c r="D35" s="43">
        <v>1969</v>
      </c>
      <c r="E35" s="16">
        <v>5917.1</v>
      </c>
      <c r="F35" s="16">
        <v>4394</v>
      </c>
      <c r="G35" s="16">
        <v>1522.7</v>
      </c>
      <c r="H35" s="17" t="s">
        <v>257</v>
      </c>
      <c r="I35" s="15"/>
      <c r="J35" s="16"/>
      <c r="K35" s="16"/>
      <c r="L35" s="16"/>
      <c r="M35" s="16"/>
      <c r="N35" s="16"/>
      <c r="O35" s="16"/>
      <c r="P35" s="16">
        <f t="shared" si="6"/>
        <v>11668521.200000001</v>
      </c>
      <c r="Q35" s="16"/>
      <c r="R35" s="16">
        <f t="shared" si="7"/>
        <v>11343080.700000001</v>
      </c>
      <c r="S35" s="16"/>
      <c r="T35" s="16"/>
      <c r="U35" s="16"/>
      <c r="V35" s="19">
        <f t="shared" si="4"/>
        <v>23011601.900000002</v>
      </c>
      <c r="W35" s="20" t="s">
        <v>1173</v>
      </c>
      <c r="X35" s="37">
        <v>0</v>
      </c>
      <c r="Y35" s="37">
        <v>0</v>
      </c>
      <c r="Z35" s="79">
        <v>0</v>
      </c>
      <c r="AA35" s="19">
        <f t="shared" si="5"/>
        <v>23011601.900000002</v>
      </c>
    </row>
    <row r="36" spans="1:27" s="12" customFormat="1" ht="93.75" customHeight="1" x14ac:dyDescent="0.25">
      <c r="A36" s="17">
        <f>IF(OR(D36=0,D36=""),"",COUNTA($D$19:D36))</f>
        <v>13</v>
      </c>
      <c r="B36" s="17" t="s">
        <v>1154</v>
      </c>
      <c r="C36" s="90" t="s">
        <v>21</v>
      </c>
      <c r="D36" s="43">
        <v>1973</v>
      </c>
      <c r="E36" s="16">
        <v>7254.9</v>
      </c>
      <c r="F36" s="16">
        <v>5258.1</v>
      </c>
      <c r="G36" s="16">
        <v>0</v>
      </c>
      <c r="H36" s="17" t="s">
        <v>257</v>
      </c>
      <c r="I36" s="15"/>
      <c r="J36" s="16"/>
      <c r="K36" s="16"/>
      <c r="L36" s="16"/>
      <c r="M36" s="16"/>
      <c r="N36" s="16"/>
      <c r="O36" s="16"/>
      <c r="P36" s="16">
        <f t="shared" si="6"/>
        <v>14306662.799999999</v>
      </c>
      <c r="Q36" s="16"/>
      <c r="R36" s="16">
        <f t="shared" si="7"/>
        <v>13907643.299999999</v>
      </c>
      <c r="S36" s="16"/>
      <c r="T36" s="16"/>
      <c r="U36" s="16"/>
      <c r="V36" s="19">
        <f t="shared" si="4"/>
        <v>28214306.099999998</v>
      </c>
      <c r="W36" s="20" t="s">
        <v>1173</v>
      </c>
      <c r="X36" s="37">
        <v>0</v>
      </c>
      <c r="Y36" s="37">
        <v>0</v>
      </c>
      <c r="Z36" s="79">
        <v>0</v>
      </c>
      <c r="AA36" s="19">
        <f t="shared" si="5"/>
        <v>28214306.099999998</v>
      </c>
    </row>
    <row r="37" spans="1:27" s="12" customFormat="1" ht="93.75" customHeight="1" x14ac:dyDescent="0.25">
      <c r="A37" s="17">
        <f>IF(OR(D37=0,D37=""),"",COUNTA($D$19:D37))</f>
        <v>14</v>
      </c>
      <c r="B37" s="17" t="s">
        <v>666</v>
      </c>
      <c r="C37" s="90" t="s">
        <v>27</v>
      </c>
      <c r="D37" s="43">
        <v>1964</v>
      </c>
      <c r="E37" s="16">
        <v>3424.9</v>
      </c>
      <c r="F37" s="16">
        <v>2001.9</v>
      </c>
      <c r="G37" s="16">
        <v>0</v>
      </c>
      <c r="H37" s="17" t="s">
        <v>257</v>
      </c>
      <c r="I37" s="15"/>
      <c r="J37" s="16"/>
      <c r="K37" s="16">
        <f>412*E37</f>
        <v>1411058.8</v>
      </c>
      <c r="L37" s="16"/>
      <c r="M37" s="16"/>
      <c r="N37" s="16"/>
      <c r="O37" s="16"/>
      <c r="P37" s="16">
        <f t="shared" si="6"/>
        <v>6753902.7999999998</v>
      </c>
      <c r="Q37" s="16"/>
      <c r="R37" s="16">
        <f t="shared" si="7"/>
        <v>6565533.2999999998</v>
      </c>
      <c r="S37" s="16"/>
      <c r="T37" s="16"/>
      <c r="U37" s="16"/>
      <c r="V37" s="19">
        <f t="shared" si="4"/>
        <v>14730494.899999999</v>
      </c>
      <c r="W37" s="20" t="s">
        <v>1173</v>
      </c>
      <c r="X37" s="37">
        <v>0</v>
      </c>
      <c r="Y37" s="37">
        <v>0</v>
      </c>
      <c r="Z37" s="79">
        <v>0</v>
      </c>
      <c r="AA37" s="19">
        <f t="shared" si="5"/>
        <v>14730494.899999999</v>
      </c>
    </row>
    <row r="38" spans="1:27" s="12" customFormat="1" ht="93.75" customHeight="1" x14ac:dyDescent="0.25">
      <c r="A38" s="17">
        <f>IF(OR(D38=0,D38=""),"",COUNTA($D$19:D38))</f>
        <v>15</v>
      </c>
      <c r="B38" s="17" t="s">
        <v>654</v>
      </c>
      <c r="C38" s="90" t="s">
        <v>280</v>
      </c>
      <c r="D38" s="43">
        <v>1984</v>
      </c>
      <c r="E38" s="16">
        <v>19875.509999999998</v>
      </c>
      <c r="F38" s="16">
        <v>13425.91</v>
      </c>
      <c r="G38" s="16">
        <v>46.8</v>
      </c>
      <c r="H38" s="17" t="s">
        <v>255</v>
      </c>
      <c r="I38" s="15">
        <v>7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>
        <f>34*E38</f>
        <v>675767.34</v>
      </c>
      <c r="U38" s="16"/>
      <c r="V38" s="19">
        <f t="shared" si="4"/>
        <v>675767.34</v>
      </c>
      <c r="W38" s="20" t="s">
        <v>1173</v>
      </c>
      <c r="X38" s="37">
        <v>0</v>
      </c>
      <c r="Y38" s="37">
        <v>0</v>
      </c>
      <c r="Z38" s="79">
        <v>0</v>
      </c>
      <c r="AA38" s="19">
        <f t="shared" si="5"/>
        <v>675767.34</v>
      </c>
    </row>
    <row r="39" spans="1:27" s="12" customFormat="1" ht="93.75" customHeight="1" x14ac:dyDescent="0.25">
      <c r="A39" s="17">
        <f>IF(OR(D39=0,D39=""),"",COUNTA($D$19:D39))</f>
        <v>16</v>
      </c>
      <c r="B39" s="17" t="s">
        <v>1155</v>
      </c>
      <c r="C39" s="90" t="s">
        <v>307</v>
      </c>
      <c r="D39" s="43">
        <v>1973</v>
      </c>
      <c r="E39" s="16">
        <v>5852</v>
      </c>
      <c r="F39" s="16">
        <v>4207.7</v>
      </c>
      <c r="G39" s="16">
        <v>1644.3</v>
      </c>
      <c r="H39" s="17" t="s">
        <v>257</v>
      </c>
      <c r="I39" s="15"/>
      <c r="J39" s="16"/>
      <c r="K39" s="16"/>
      <c r="L39" s="16"/>
      <c r="M39" s="16"/>
      <c r="N39" s="16"/>
      <c r="O39" s="16"/>
      <c r="P39" s="16">
        <f>1972*E39</f>
        <v>11540144</v>
      </c>
      <c r="Q39" s="16"/>
      <c r="R39" s="16">
        <f>E39*1917</f>
        <v>11218284</v>
      </c>
      <c r="S39" s="16"/>
      <c r="T39" s="16"/>
      <c r="U39" s="16"/>
      <c r="V39" s="19">
        <f t="shared" si="4"/>
        <v>22758428</v>
      </c>
      <c r="W39" s="20" t="s">
        <v>1173</v>
      </c>
      <c r="X39" s="37">
        <v>0</v>
      </c>
      <c r="Y39" s="37">
        <v>0</v>
      </c>
      <c r="Z39" s="79">
        <v>0</v>
      </c>
      <c r="AA39" s="19">
        <f t="shared" si="5"/>
        <v>22758428</v>
      </c>
    </row>
    <row r="40" spans="1:27" s="12" customFormat="1" ht="93.75" customHeight="1" x14ac:dyDescent="0.25">
      <c r="A40" s="17">
        <f>IF(OR(D40=0,D40=""),"",COUNTA($D$19:D40))</f>
        <v>17</v>
      </c>
      <c r="B40" s="17" t="s">
        <v>660</v>
      </c>
      <c r="C40" s="90" t="s">
        <v>308</v>
      </c>
      <c r="D40" s="43">
        <v>1969</v>
      </c>
      <c r="E40" s="16">
        <v>1276.7</v>
      </c>
      <c r="F40" s="16">
        <v>721.8</v>
      </c>
      <c r="G40" s="16">
        <v>556.6</v>
      </c>
      <c r="H40" s="17" t="s">
        <v>257</v>
      </c>
      <c r="I40" s="15"/>
      <c r="J40" s="16"/>
      <c r="K40" s="16"/>
      <c r="L40" s="16"/>
      <c r="M40" s="16"/>
      <c r="N40" s="16"/>
      <c r="O40" s="16"/>
      <c r="P40" s="16">
        <f>1972*E40</f>
        <v>2517652.4</v>
      </c>
      <c r="Q40" s="16"/>
      <c r="R40" s="16"/>
      <c r="S40" s="16"/>
      <c r="T40" s="16"/>
      <c r="U40" s="16"/>
      <c r="V40" s="19">
        <f t="shared" si="4"/>
        <v>2517652.4</v>
      </c>
      <c r="W40" s="20" t="s">
        <v>1173</v>
      </c>
      <c r="X40" s="37">
        <v>0</v>
      </c>
      <c r="Y40" s="37">
        <v>0</v>
      </c>
      <c r="Z40" s="79">
        <v>0</v>
      </c>
      <c r="AA40" s="19">
        <f t="shared" si="5"/>
        <v>2517652.4</v>
      </c>
    </row>
    <row r="41" spans="1:27" s="12" customFormat="1" ht="93.75" customHeight="1" x14ac:dyDescent="0.25">
      <c r="A41" s="17">
        <f>IF(OR(D41=0,D41=""),"",COUNTA($D$19:D41))</f>
        <v>18</v>
      </c>
      <c r="B41" s="17" t="s">
        <v>663</v>
      </c>
      <c r="C41" s="90" t="s">
        <v>321</v>
      </c>
      <c r="D41" s="43">
        <v>1989</v>
      </c>
      <c r="E41" s="16">
        <v>4171.3</v>
      </c>
      <c r="F41" s="16">
        <v>2044.2</v>
      </c>
      <c r="G41" s="16">
        <v>2127.1</v>
      </c>
      <c r="H41" s="17" t="s">
        <v>257</v>
      </c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>
        <f>35*E41</f>
        <v>145995.5</v>
      </c>
      <c r="U41" s="16"/>
      <c r="V41" s="19">
        <f t="shared" si="4"/>
        <v>145995.5</v>
      </c>
      <c r="W41" s="20" t="s">
        <v>1173</v>
      </c>
      <c r="X41" s="37">
        <v>0</v>
      </c>
      <c r="Y41" s="37">
        <v>0</v>
      </c>
      <c r="Z41" s="79">
        <v>0</v>
      </c>
      <c r="AA41" s="19">
        <f t="shared" si="5"/>
        <v>145995.5</v>
      </c>
    </row>
    <row r="42" spans="1:27" s="12" customFormat="1" ht="93.75" customHeight="1" x14ac:dyDescent="0.25">
      <c r="A42" s="17">
        <f>IF(OR(D42=0,D42=""),"",COUNTA($D$19:D42))</f>
        <v>19</v>
      </c>
      <c r="B42" s="17" t="s">
        <v>670</v>
      </c>
      <c r="C42" s="90" t="s">
        <v>322</v>
      </c>
      <c r="D42" s="43">
        <v>1987</v>
      </c>
      <c r="E42" s="15">
        <v>11254.5</v>
      </c>
      <c r="F42" s="15">
        <v>7600.38</v>
      </c>
      <c r="G42" s="15">
        <v>3654.1</v>
      </c>
      <c r="H42" s="17" t="s">
        <v>255</v>
      </c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>
        <f>34*E42</f>
        <v>382653</v>
      </c>
      <c r="U42" s="16"/>
      <c r="V42" s="19">
        <f t="shared" si="4"/>
        <v>382653</v>
      </c>
      <c r="W42" s="20" t="s">
        <v>1173</v>
      </c>
      <c r="X42" s="37">
        <v>0</v>
      </c>
      <c r="Y42" s="37">
        <v>0</v>
      </c>
      <c r="Z42" s="79">
        <v>0</v>
      </c>
      <c r="AA42" s="19">
        <f t="shared" si="5"/>
        <v>382653</v>
      </c>
    </row>
    <row r="43" spans="1:27" s="12" customFormat="1" ht="93.75" customHeight="1" x14ac:dyDescent="0.25">
      <c r="A43" s="17">
        <f>IF(OR(D43=0,D43=""),"",COUNTA($D$19:D43))</f>
        <v>20</v>
      </c>
      <c r="B43" s="17" t="s">
        <v>622</v>
      </c>
      <c r="C43" s="90" t="s">
        <v>274</v>
      </c>
      <c r="D43" s="43">
        <v>1978</v>
      </c>
      <c r="E43" s="16">
        <v>5390.1</v>
      </c>
      <c r="F43" s="16">
        <v>4411.5</v>
      </c>
      <c r="G43" s="16">
        <v>0</v>
      </c>
      <c r="H43" s="17" t="s">
        <v>257</v>
      </c>
      <c r="I43" s="1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>
        <f>35*E43</f>
        <v>188653.5</v>
      </c>
      <c r="U43" s="16"/>
      <c r="V43" s="19">
        <f t="shared" si="4"/>
        <v>188653.5</v>
      </c>
      <c r="W43" s="20" t="s">
        <v>1173</v>
      </c>
      <c r="X43" s="37">
        <v>0</v>
      </c>
      <c r="Y43" s="37">
        <v>0</v>
      </c>
      <c r="Z43" s="79">
        <v>0</v>
      </c>
      <c r="AA43" s="19">
        <f t="shared" si="5"/>
        <v>188653.5</v>
      </c>
    </row>
    <row r="44" spans="1:27" s="12" customFormat="1" ht="93.75" customHeight="1" x14ac:dyDescent="0.25">
      <c r="A44" s="17">
        <f>IF(OR(D44=0,D44=""),"",COUNTA($D$19:D44))</f>
        <v>21</v>
      </c>
      <c r="B44" s="17" t="s">
        <v>641</v>
      </c>
      <c r="C44" s="90" t="s">
        <v>275</v>
      </c>
      <c r="D44" s="43">
        <v>1964</v>
      </c>
      <c r="E44" s="16">
        <v>4814.7</v>
      </c>
      <c r="F44" s="16">
        <v>3701.2</v>
      </c>
      <c r="G44" s="16">
        <v>89.8</v>
      </c>
      <c r="H44" s="17" t="s">
        <v>257</v>
      </c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>
        <f>35*E44</f>
        <v>168514.5</v>
      </c>
      <c r="U44" s="16"/>
      <c r="V44" s="19">
        <f t="shared" si="4"/>
        <v>168514.5</v>
      </c>
      <c r="W44" s="20" t="s">
        <v>1173</v>
      </c>
      <c r="X44" s="37">
        <v>0</v>
      </c>
      <c r="Y44" s="37">
        <v>0</v>
      </c>
      <c r="Z44" s="79">
        <v>0</v>
      </c>
      <c r="AA44" s="19">
        <f t="shared" si="5"/>
        <v>168514.5</v>
      </c>
    </row>
    <row r="45" spans="1:27" s="12" customFormat="1" ht="93.75" customHeight="1" x14ac:dyDescent="0.25">
      <c r="A45" s="17">
        <f>IF(OR(D45=0,D45=""),"",COUNTA($D$19:D45))</f>
        <v>22</v>
      </c>
      <c r="B45" s="17" t="s">
        <v>642</v>
      </c>
      <c r="C45" s="90" t="s">
        <v>276</v>
      </c>
      <c r="D45" s="43">
        <v>1964</v>
      </c>
      <c r="E45" s="16">
        <v>4821.5</v>
      </c>
      <c r="F45" s="16">
        <v>3758.1</v>
      </c>
      <c r="G45" s="16">
        <v>39.799999999999997</v>
      </c>
      <c r="H45" s="17" t="s">
        <v>257</v>
      </c>
      <c r="I45" s="1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>
        <f>35*E45</f>
        <v>168752.5</v>
      </c>
      <c r="U45" s="16"/>
      <c r="V45" s="19">
        <f t="shared" si="4"/>
        <v>168752.5</v>
      </c>
      <c r="W45" s="20" t="s">
        <v>1173</v>
      </c>
      <c r="X45" s="37">
        <v>0</v>
      </c>
      <c r="Y45" s="37">
        <v>0</v>
      </c>
      <c r="Z45" s="79">
        <v>0</v>
      </c>
      <c r="AA45" s="19">
        <f t="shared" si="5"/>
        <v>168752.5</v>
      </c>
    </row>
    <row r="46" spans="1:27" s="12" customFormat="1" ht="93.75" customHeight="1" x14ac:dyDescent="0.25">
      <c r="A46" s="17">
        <f>IF(OR(D46=0,D46=""),"",COUNTA($D$19:D46))</f>
        <v>23</v>
      </c>
      <c r="B46" s="17" t="s">
        <v>644</v>
      </c>
      <c r="C46" s="90" t="s">
        <v>277</v>
      </c>
      <c r="D46" s="43">
        <v>1978</v>
      </c>
      <c r="E46" s="16">
        <v>4226.2</v>
      </c>
      <c r="F46" s="16">
        <v>3879.2</v>
      </c>
      <c r="G46" s="16">
        <v>0</v>
      </c>
      <c r="H46" s="17" t="s">
        <v>255</v>
      </c>
      <c r="I46" s="15">
        <v>2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>
        <f>E46*34</f>
        <v>143690.79999999999</v>
      </c>
      <c r="U46" s="16"/>
      <c r="V46" s="19">
        <f t="shared" si="4"/>
        <v>143690.79999999999</v>
      </c>
      <c r="W46" s="20" t="s">
        <v>1173</v>
      </c>
      <c r="X46" s="37">
        <v>0</v>
      </c>
      <c r="Y46" s="37">
        <v>0</v>
      </c>
      <c r="Z46" s="79">
        <v>0</v>
      </c>
      <c r="AA46" s="19">
        <f t="shared" si="5"/>
        <v>143690.79999999999</v>
      </c>
    </row>
    <row r="47" spans="1:27" s="12" customFormat="1" ht="93.75" customHeight="1" x14ac:dyDescent="0.25">
      <c r="A47" s="17">
        <f>IF(OR(D47=0,D47=""),"",COUNTA($D$19:D47))</f>
        <v>24</v>
      </c>
      <c r="B47" s="17" t="s">
        <v>651</v>
      </c>
      <c r="C47" s="90" t="s">
        <v>278</v>
      </c>
      <c r="D47" s="43">
        <v>1970</v>
      </c>
      <c r="E47" s="16">
        <v>8103.04</v>
      </c>
      <c r="F47" s="16">
        <v>4583.54</v>
      </c>
      <c r="G47" s="16">
        <v>1481.7</v>
      </c>
      <c r="H47" s="17" t="s">
        <v>257</v>
      </c>
      <c r="I47" s="1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>
        <f>35*E47</f>
        <v>283606.40000000002</v>
      </c>
      <c r="U47" s="16"/>
      <c r="V47" s="19">
        <f t="shared" si="4"/>
        <v>283606.40000000002</v>
      </c>
      <c r="W47" s="20" t="s">
        <v>1173</v>
      </c>
      <c r="X47" s="37">
        <v>0</v>
      </c>
      <c r="Y47" s="37">
        <v>0</v>
      </c>
      <c r="Z47" s="79">
        <v>0</v>
      </c>
      <c r="AA47" s="19">
        <f t="shared" si="5"/>
        <v>283606.40000000002</v>
      </c>
    </row>
    <row r="48" spans="1:27" s="12" customFormat="1" ht="93.75" customHeight="1" x14ac:dyDescent="0.25">
      <c r="A48" s="17">
        <f>IF(OR(D48=0,D48=""),"",COUNTA($D$19:D48))</f>
        <v>25</v>
      </c>
      <c r="B48" s="17" t="s">
        <v>653</v>
      </c>
      <c r="C48" s="90" t="s">
        <v>279</v>
      </c>
      <c r="D48" s="43">
        <v>1973</v>
      </c>
      <c r="E48" s="16">
        <v>4568</v>
      </c>
      <c r="F48" s="16">
        <v>2063.1</v>
      </c>
      <c r="G48" s="16">
        <v>247.8</v>
      </c>
      <c r="H48" s="17" t="s">
        <v>255</v>
      </c>
      <c r="I48" s="15">
        <v>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>
        <f>34*E48</f>
        <v>155312</v>
      </c>
      <c r="U48" s="16"/>
      <c r="V48" s="19">
        <f t="shared" si="4"/>
        <v>155312</v>
      </c>
      <c r="W48" s="20" t="s">
        <v>1173</v>
      </c>
      <c r="X48" s="37">
        <v>0</v>
      </c>
      <c r="Y48" s="37">
        <v>0</v>
      </c>
      <c r="Z48" s="79">
        <v>0</v>
      </c>
      <c r="AA48" s="19">
        <f t="shared" si="5"/>
        <v>155312</v>
      </c>
    </row>
    <row r="49" spans="1:27" s="13" customFormat="1" ht="93.75" customHeight="1" x14ac:dyDescent="0.25">
      <c r="A49" s="17">
        <f>IF(OR(D49=0,D49=""),"",COUNTA($D$19:D49))</f>
        <v>26</v>
      </c>
      <c r="B49" s="17" t="s">
        <v>662</v>
      </c>
      <c r="C49" s="90" t="s">
        <v>281</v>
      </c>
      <c r="D49" s="43">
        <v>1974</v>
      </c>
      <c r="E49" s="16">
        <v>5404.1</v>
      </c>
      <c r="F49" s="16">
        <v>3049</v>
      </c>
      <c r="G49" s="16">
        <v>2355.1</v>
      </c>
      <c r="H49" s="17" t="s">
        <v>257</v>
      </c>
      <c r="I49" s="1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>
        <f>35*E49</f>
        <v>189143.5</v>
      </c>
      <c r="U49" s="15"/>
      <c r="V49" s="19">
        <f t="shared" si="4"/>
        <v>189143.5</v>
      </c>
      <c r="W49" s="20" t="s">
        <v>1173</v>
      </c>
      <c r="X49" s="37">
        <v>0</v>
      </c>
      <c r="Y49" s="37">
        <v>0</v>
      </c>
      <c r="Z49" s="79">
        <v>0</v>
      </c>
      <c r="AA49" s="19">
        <f t="shared" si="5"/>
        <v>189143.5</v>
      </c>
    </row>
    <row r="50" spans="1:27" s="12" customFormat="1" ht="93.75" customHeight="1" x14ac:dyDescent="0.25">
      <c r="A50" s="17">
        <f>IF(OR(D50=0,D50=""),"",COUNTA($D$19:D50))</f>
        <v>27</v>
      </c>
      <c r="B50" s="17" t="s">
        <v>664</v>
      </c>
      <c r="C50" s="90" t="s">
        <v>282</v>
      </c>
      <c r="D50" s="43">
        <v>1978</v>
      </c>
      <c r="E50" s="16">
        <v>3638.6</v>
      </c>
      <c r="F50" s="16">
        <v>2639.6</v>
      </c>
      <c r="G50" s="16">
        <v>310.39999999999998</v>
      </c>
      <c r="H50" s="17" t="s">
        <v>257</v>
      </c>
      <c r="I50" s="1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>
        <f>35*E50</f>
        <v>127351</v>
      </c>
      <c r="U50" s="16"/>
      <c r="V50" s="19">
        <f t="shared" si="4"/>
        <v>127351</v>
      </c>
      <c r="W50" s="20" t="s">
        <v>1173</v>
      </c>
      <c r="X50" s="37">
        <v>0</v>
      </c>
      <c r="Y50" s="37">
        <v>0</v>
      </c>
      <c r="Z50" s="79">
        <v>0</v>
      </c>
      <c r="AA50" s="19">
        <f t="shared" si="5"/>
        <v>127351</v>
      </c>
    </row>
    <row r="51" spans="1:27" s="12" customFormat="1" ht="93.75" customHeight="1" x14ac:dyDescent="0.25">
      <c r="A51" s="17">
        <f>IF(OR(D51=0,D51=""),"",COUNTA($D$19:D51))</f>
        <v>28</v>
      </c>
      <c r="B51" s="17" t="s">
        <v>665</v>
      </c>
      <c r="C51" s="90" t="s">
        <v>283</v>
      </c>
      <c r="D51" s="43">
        <v>1978</v>
      </c>
      <c r="E51" s="16">
        <v>3653.9</v>
      </c>
      <c r="F51" s="16">
        <v>2584.5</v>
      </c>
      <c r="G51" s="16">
        <v>978.5</v>
      </c>
      <c r="H51" s="17" t="s">
        <v>257</v>
      </c>
      <c r="I51" s="15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>
        <f>35*E51</f>
        <v>127886.5</v>
      </c>
      <c r="U51" s="16"/>
      <c r="V51" s="19">
        <f t="shared" si="4"/>
        <v>127886.5</v>
      </c>
      <c r="W51" s="20" t="s">
        <v>1173</v>
      </c>
      <c r="X51" s="37">
        <v>0</v>
      </c>
      <c r="Y51" s="37">
        <v>0</v>
      </c>
      <c r="Z51" s="79">
        <v>0</v>
      </c>
      <c r="AA51" s="19">
        <f t="shared" si="5"/>
        <v>127886.5</v>
      </c>
    </row>
    <row r="52" spans="1:27" s="12" customFormat="1" ht="93.75" customHeight="1" x14ac:dyDescent="0.25">
      <c r="A52" s="17">
        <f>IF(OR(D52=0,D52=""),"",COUNTA($D$19:D52))</f>
        <v>29</v>
      </c>
      <c r="B52" s="17" t="s">
        <v>669</v>
      </c>
      <c r="C52" s="90" t="s">
        <v>284</v>
      </c>
      <c r="D52" s="15">
        <v>1986</v>
      </c>
      <c r="E52" s="15">
        <v>8366.6</v>
      </c>
      <c r="F52" s="15">
        <v>5637.6</v>
      </c>
      <c r="G52" s="15">
        <v>2729.5</v>
      </c>
      <c r="H52" s="17" t="s">
        <v>255</v>
      </c>
      <c r="I52" s="1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>
        <f>34*E52</f>
        <v>284464.40000000002</v>
      </c>
      <c r="U52" s="16"/>
      <c r="V52" s="19">
        <f t="shared" si="4"/>
        <v>284464.40000000002</v>
      </c>
      <c r="W52" s="20" t="s">
        <v>1173</v>
      </c>
      <c r="X52" s="37">
        <v>0</v>
      </c>
      <c r="Y52" s="37">
        <v>0</v>
      </c>
      <c r="Z52" s="79">
        <v>0</v>
      </c>
      <c r="AA52" s="19">
        <f t="shared" si="5"/>
        <v>284464.40000000002</v>
      </c>
    </row>
    <row r="53" spans="1:27" s="12" customFormat="1" ht="93.75" customHeight="1" x14ac:dyDescent="0.25">
      <c r="A53" s="17">
        <f>IF(OR(D53=0,D53=""),"",COUNTA($D$19:D53))</f>
        <v>30</v>
      </c>
      <c r="B53" s="17" t="s">
        <v>633</v>
      </c>
      <c r="C53" s="90" t="s">
        <v>287</v>
      </c>
      <c r="D53" s="43">
        <v>1967</v>
      </c>
      <c r="E53" s="16">
        <v>4347.2</v>
      </c>
      <c r="F53" s="16">
        <v>3351.35</v>
      </c>
      <c r="G53" s="16">
        <v>0</v>
      </c>
      <c r="H53" s="17" t="s">
        <v>257</v>
      </c>
      <c r="I53" s="15"/>
      <c r="J53" s="16">
        <f>232*E53</f>
        <v>1008550.3999999999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9">
        <f t="shared" si="4"/>
        <v>1008550.3999999999</v>
      </c>
      <c r="W53" s="20" t="s">
        <v>1173</v>
      </c>
      <c r="X53" s="37">
        <v>0</v>
      </c>
      <c r="Y53" s="37">
        <v>0</v>
      </c>
      <c r="Z53" s="79">
        <v>0</v>
      </c>
      <c r="AA53" s="19">
        <f t="shared" si="5"/>
        <v>1008550.3999999999</v>
      </c>
    </row>
    <row r="54" spans="1:27" s="12" customFormat="1" ht="93.75" customHeight="1" x14ac:dyDescent="0.25">
      <c r="A54" s="17">
        <f>IF(OR(D54=0,D54=""),"",COUNTA($D$19:D54))</f>
        <v>31</v>
      </c>
      <c r="B54" s="17" t="s">
        <v>635</v>
      </c>
      <c r="C54" s="27" t="s">
        <v>288</v>
      </c>
      <c r="D54" s="43">
        <v>1967</v>
      </c>
      <c r="E54" s="16">
        <v>3473.8</v>
      </c>
      <c r="F54" s="16">
        <v>2574.5</v>
      </c>
      <c r="G54" s="16">
        <v>0</v>
      </c>
      <c r="H54" s="17" t="s">
        <v>257</v>
      </c>
      <c r="I54" s="15"/>
      <c r="J54" s="16"/>
      <c r="K54" s="16"/>
      <c r="L54" s="16"/>
      <c r="M54" s="16">
        <f>249*E54</f>
        <v>864976.20000000007</v>
      </c>
      <c r="N54" s="16">
        <f>117*E54</f>
        <v>406434.60000000003</v>
      </c>
      <c r="O54" s="16"/>
      <c r="P54" s="16"/>
      <c r="Q54" s="16"/>
      <c r="R54" s="16"/>
      <c r="S54" s="16"/>
      <c r="T54" s="16"/>
      <c r="U54" s="16"/>
      <c r="V54" s="19">
        <f t="shared" si="4"/>
        <v>1271410.8</v>
      </c>
      <c r="W54" s="20" t="s">
        <v>1173</v>
      </c>
      <c r="X54" s="37">
        <v>0</v>
      </c>
      <c r="Y54" s="37">
        <v>0</v>
      </c>
      <c r="Z54" s="79">
        <v>0</v>
      </c>
      <c r="AA54" s="19">
        <f t="shared" si="5"/>
        <v>1271410.8</v>
      </c>
    </row>
    <row r="55" spans="1:27" s="12" customFormat="1" ht="93.75" customHeight="1" x14ac:dyDescent="0.25">
      <c r="A55" s="17">
        <f>IF(OR(D55=0,D55=""),"",COUNTA($D$19:D55))</f>
        <v>32</v>
      </c>
      <c r="B55" s="17" t="s">
        <v>640</v>
      </c>
      <c r="C55" s="90" t="s">
        <v>511</v>
      </c>
      <c r="D55" s="43">
        <v>1965</v>
      </c>
      <c r="E55" s="16">
        <v>4997.5</v>
      </c>
      <c r="F55" s="16">
        <v>3768.12</v>
      </c>
      <c r="G55" s="16">
        <v>0</v>
      </c>
      <c r="H55" s="17" t="s">
        <v>257</v>
      </c>
      <c r="I55" s="15"/>
      <c r="J55" s="16"/>
      <c r="K55" s="16"/>
      <c r="L55" s="16"/>
      <c r="M55" s="16"/>
      <c r="N55" s="16"/>
      <c r="O55" s="16"/>
      <c r="P55" s="16">
        <f>1972*E55</f>
        <v>9855070</v>
      </c>
      <c r="Q55" s="16"/>
      <c r="R55" s="16"/>
      <c r="S55" s="16"/>
      <c r="T55" s="16"/>
      <c r="U55" s="16"/>
      <c r="V55" s="19">
        <f t="shared" si="4"/>
        <v>9855070</v>
      </c>
      <c r="W55" s="20" t="s">
        <v>1173</v>
      </c>
      <c r="X55" s="37">
        <v>0</v>
      </c>
      <c r="Y55" s="37">
        <v>0</v>
      </c>
      <c r="Z55" s="79">
        <v>0</v>
      </c>
      <c r="AA55" s="19">
        <f t="shared" si="5"/>
        <v>9855070</v>
      </c>
    </row>
    <row r="56" spans="1:27" s="13" customFormat="1" ht="93.75" customHeight="1" x14ac:dyDescent="0.25">
      <c r="A56" s="17" t="str">
        <f>IF(OR(D56=0,D56=""),"",COUNTA($D$19:D56))</f>
        <v/>
      </c>
      <c r="B56" s="17"/>
      <c r="C56" s="89"/>
      <c r="D56" s="21"/>
      <c r="E56" s="26">
        <f>SUM(E27:E55)</f>
        <v>164390.25</v>
      </c>
      <c r="F56" s="26">
        <f>SUM(F27:F55)</f>
        <v>111692.68000000001</v>
      </c>
      <c r="G56" s="26">
        <f>SUM(G27:G55)</f>
        <v>22004.3</v>
      </c>
      <c r="H56" s="17"/>
      <c r="I56" s="15"/>
      <c r="J56" s="16"/>
      <c r="K56" s="16"/>
      <c r="L56" s="16"/>
      <c r="M56" s="16"/>
      <c r="N56" s="16"/>
      <c r="O56" s="26"/>
      <c r="P56" s="26"/>
      <c r="Q56" s="26"/>
      <c r="R56" s="26"/>
      <c r="S56" s="26"/>
      <c r="T56" s="26"/>
      <c r="U56" s="17"/>
      <c r="V56" s="26">
        <f>SUM(V27:V55)</f>
        <v>236129932.70080006</v>
      </c>
      <c r="W56" s="26"/>
      <c r="X56" s="26">
        <f>SUM(X27:X55)</f>
        <v>0</v>
      </c>
      <c r="Y56" s="26">
        <f>SUM(Y27:Y55)</f>
        <v>0</v>
      </c>
      <c r="Z56" s="80">
        <f>SUM(Z27:Z55)</f>
        <v>0</v>
      </c>
      <c r="AA56" s="28">
        <f t="shared" si="5"/>
        <v>236129932.70080006</v>
      </c>
    </row>
    <row r="57" spans="1:27" s="12" customFormat="1" ht="93.75" customHeight="1" x14ac:dyDescent="0.25">
      <c r="A57" s="17" t="str">
        <f>IF(OR(D57=0,D57=""),"",COUNTA($D$19:D57))</f>
        <v/>
      </c>
      <c r="B57" s="17"/>
      <c r="C57" s="89" t="s">
        <v>1178</v>
      </c>
      <c r="D57" s="43"/>
      <c r="E57" s="16"/>
      <c r="F57" s="16"/>
      <c r="G57" s="16"/>
      <c r="H57" s="17"/>
      <c r="I57" s="15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5"/>
      <c r="V57" s="19"/>
      <c r="W57" s="20"/>
      <c r="X57" s="37"/>
      <c r="Y57" s="37"/>
      <c r="Z57" s="20"/>
      <c r="AA57" s="19"/>
    </row>
    <row r="58" spans="1:27" s="12" customFormat="1" ht="93.75" customHeight="1" x14ac:dyDescent="0.25">
      <c r="A58" s="17">
        <f>IF(OR(D58=0,D58=""),"",COUNTA($D$19:D58))</f>
        <v>33</v>
      </c>
      <c r="B58" s="17" t="s">
        <v>688</v>
      </c>
      <c r="C58" s="90" t="s">
        <v>30</v>
      </c>
      <c r="D58" s="43">
        <v>1985</v>
      </c>
      <c r="E58" s="16">
        <v>4581</v>
      </c>
      <c r="F58" s="16">
        <v>3311</v>
      </c>
      <c r="G58" s="16">
        <v>0</v>
      </c>
      <c r="H58" s="17" t="s">
        <v>257</v>
      </c>
      <c r="I58" s="15"/>
      <c r="J58" s="16"/>
      <c r="K58" s="16"/>
      <c r="L58" s="16"/>
      <c r="M58" s="16"/>
      <c r="N58" s="16"/>
      <c r="O58" s="16"/>
      <c r="P58" s="16">
        <f>1972*E58</f>
        <v>9033732</v>
      </c>
      <c r="Q58" s="16"/>
      <c r="R58" s="16">
        <f>E58*1917</f>
        <v>8781777</v>
      </c>
      <c r="S58" s="16">
        <f>E58*90</f>
        <v>412290</v>
      </c>
      <c r="T58" s="16"/>
      <c r="U58" s="16">
        <f>(J58+K58+L58+M58+N58+O58+P58+Q58+R58+S58+T58)*0.0214</f>
        <v>390074.89859999996</v>
      </c>
      <c r="V58" s="19">
        <f t="shared" ref="V58:V59" si="8">J58+K58+L58+M58+N58+O58+P58+Q58+R58+S58+T58+U58</f>
        <v>18617873.898600001</v>
      </c>
      <c r="W58" s="20" t="s">
        <v>1173</v>
      </c>
      <c r="X58" s="37">
        <v>0</v>
      </c>
      <c r="Y58" s="37">
        <v>0</v>
      </c>
      <c r="Z58" s="79">
        <v>0</v>
      </c>
      <c r="AA58" s="19">
        <f>V58-(X58+Y58+Z58)</f>
        <v>18617873.898600001</v>
      </c>
    </row>
    <row r="59" spans="1:27" s="12" customFormat="1" ht="93.75" customHeight="1" x14ac:dyDescent="0.25">
      <c r="A59" s="17">
        <f>IF(OR(D59=0,D59=""),"",COUNTA($D$19:D59))</f>
        <v>34</v>
      </c>
      <c r="B59" s="17" t="s">
        <v>676</v>
      </c>
      <c r="C59" s="90" t="s">
        <v>29</v>
      </c>
      <c r="D59" s="43">
        <v>1977</v>
      </c>
      <c r="E59" s="16">
        <v>5373.3</v>
      </c>
      <c r="F59" s="16">
        <v>3920.5</v>
      </c>
      <c r="G59" s="16">
        <v>1452.8</v>
      </c>
      <c r="H59" s="17" t="s">
        <v>257</v>
      </c>
      <c r="I59" s="15"/>
      <c r="J59" s="16"/>
      <c r="K59" s="16"/>
      <c r="L59" s="16"/>
      <c r="M59" s="18"/>
      <c r="N59" s="16"/>
      <c r="O59" s="16"/>
      <c r="P59" s="16">
        <f>1972*E59</f>
        <v>10596147.6</v>
      </c>
      <c r="Q59" s="16"/>
      <c r="R59" s="16"/>
      <c r="S59" s="16"/>
      <c r="T59" s="16"/>
      <c r="U59" s="16"/>
      <c r="V59" s="19">
        <f t="shared" si="8"/>
        <v>10596147.6</v>
      </c>
      <c r="W59" s="20" t="s">
        <v>1173</v>
      </c>
      <c r="X59" s="37">
        <v>0</v>
      </c>
      <c r="Y59" s="37">
        <v>0</v>
      </c>
      <c r="Z59" s="79">
        <v>0</v>
      </c>
      <c r="AA59" s="19">
        <f>V59-(X59+Y59+Z59)</f>
        <v>10596147.6</v>
      </c>
    </row>
    <row r="60" spans="1:27" s="13" customFormat="1" ht="93.75" customHeight="1" x14ac:dyDescent="0.25">
      <c r="A60" s="17" t="str">
        <f>IF(OR(D60=0,D60=""),"",COUNTA($D$19:D60))</f>
        <v/>
      </c>
      <c r="B60" s="17"/>
      <c r="C60" s="89"/>
      <c r="D60" s="21"/>
      <c r="E60" s="26">
        <f>SUM(E58:E59)</f>
        <v>9954.2999999999993</v>
      </c>
      <c r="F60" s="26">
        <f>SUM(F58:F59)</f>
        <v>7231.5</v>
      </c>
      <c r="G60" s="26">
        <f>SUM(G58:G59)</f>
        <v>1452.8</v>
      </c>
      <c r="H60" s="17"/>
      <c r="I60" s="15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17"/>
      <c r="V60" s="26">
        <f>SUM(V58:V59)</f>
        <v>29214021.498599999</v>
      </c>
      <c r="W60" s="26"/>
      <c r="X60" s="26">
        <f t="shared" ref="X60:Z60" si="9">SUM(X58:X59)</f>
        <v>0</v>
      </c>
      <c r="Y60" s="26">
        <f t="shared" si="9"/>
        <v>0</v>
      </c>
      <c r="Z60" s="80">
        <f t="shared" si="9"/>
        <v>0</v>
      </c>
      <c r="AA60" s="28">
        <f>V60-(X60+Y60+Z60)</f>
        <v>29214021.498599999</v>
      </c>
    </row>
    <row r="61" spans="1:27" s="12" customFormat="1" ht="93.75" customHeight="1" x14ac:dyDescent="0.25">
      <c r="A61" s="17" t="str">
        <f>IF(OR(D61=0,D61=""),"",COUNTA($D$19:D61))</f>
        <v/>
      </c>
      <c r="B61" s="17"/>
      <c r="C61" s="89" t="s">
        <v>1179</v>
      </c>
      <c r="D61" s="43"/>
      <c r="E61" s="16"/>
      <c r="F61" s="16"/>
      <c r="G61" s="16"/>
      <c r="H61" s="17"/>
      <c r="I61" s="15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5"/>
      <c r="V61" s="19"/>
      <c r="W61" s="20"/>
      <c r="X61" s="37"/>
      <c r="Y61" s="37"/>
      <c r="Z61" s="20"/>
      <c r="AA61" s="19"/>
    </row>
    <row r="62" spans="1:27" s="12" customFormat="1" ht="93.75" customHeight="1" x14ac:dyDescent="0.25">
      <c r="A62" s="17">
        <f>IF(OR(D62=0,D62=""),"",COUNTA($D$19:D62))</f>
        <v>35</v>
      </c>
      <c r="B62" s="17" t="s">
        <v>692</v>
      </c>
      <c r="C62" s="90" t="s">
        <v>34</v>
      </c>
      <c r="D62" s="43">
        <v>1935</v>
      </c>
      <c r="E62" s="16">
        <v>689</v>
      </c>
      <c r="F62" s="16">
        <v>477.5</v>
      </c>
      <c r="G62" s="16">
        <v>0</v>
      </c>
      <c r="H62" s="17" t="s">
        <v>250</v>
      </c>
      <c r="I62" s="15"/>
      <c r="J62" s="16">
        <f t="shared" ref="J62:J68" si="10">E62*340</f>
        <v>234260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5"/>
      <c r="V62" s="19">
        <f t="shared" ref="V62:V70" si="11">J62+K62+L62+M62+N62+O62+P62+Q62+R62+S62+T62+U62</f>
        <v>234260</v>
      </c>
      <c r="W62" s="20" t="s">
        <v>1173</v>
      </c>
      <c r="X62" s="37">
        <v>0</v>
      </c>
      <c r="Y62" s="37">
        <v>0</v>
      </c>
      <c r="Z62" s="79">
        <v>0</v>
      </c>
      <c r="AA62" s="19">
        <f t="shared" ref="AA62:AA71" si="12">V62-(X62+Y62+Z62)</f>
        <v>234260</v>
      </c>
    </row>
    <row r="63" spans="1:27" s="12" customFormat="1" ht="93.75" customHeight="1" x14ac:dyDescent="0.25">
      <c r="A63" s="17">
        <f>IF(OR(D63=0,D63=""),"",COUNTA($D$19:D63))</f>
        <v>36</v>
      </c>
      <c r="B63" s="17" t="s">
        <v>698</v>
      </c>
      <c r="C63" s="90" t="s">
        <v>40</v>
      </c>
      <c r="D63" s="43">
        <v>1936</v>
      </c>
      <c r="E63" s="16">
        <v>713.34</v>
      </c>
      <c r="F63" s="16">
        <v>319.39999999999998</v>
      </c>
      <c r="G63" s="16">
        <v>0</v>
      </c>
      <c r="H63" s="17" t="s">
        <v>250</v>
      </c>
      <c r="I63" s="15"/>
      <c r="J63" s="16">
        <f t="shared" si="10"/>
        <v>242535.6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5"/>
      <c r="V63" s="19">
        <f t="shared" si="11"/>
        <v>242535.6</v>
      </c>
      <c r="W63" s="20" t="s">
        <v>1173</v>
      </c>
      <c r="X63" s="37">
        <v>0</v>
      </c>
      <c r="Y63" s="37">
        <v>0</v>
      </c>
      <c r="Z63" s="79">
        <v>0</v>
      </c>
      <c r="AA63" s="19">
        <f t="shared" si="12"/>
        <v>242535.6</v>
      </c>
    </row>
    <row r="64" spans="1:27" s="12" customFormat="1" ht="93.75" customHeight="1" x14ac:dyDescent="0.25">
      <c r="A64" s="17">
        <f>IF(OR(D64=0,D64=""),"",COUNTA($D$19:D64))</f>
        <v>37</v>
      </c>
      <c r="B64" s="17" t="s">
        <v>694</v>
      </c>
      <c r="C64" s="90" t="s">
        <v>36</v>
      </c>
      <c r="D64" s="43">
        <v>1938</v>
      </c>
      <c r="E64" s="16">
        <v>699.4</v>
      </c>
      <c r="F64" s="16">
        <v>321.2</v>
      </c>
      <c r="G64" s="16">
        <v>0</v>
      </c>
      <c r="H64" s="17" t="s">
        <v>250</v>
      </c>
      <c r="I64" s="15"/>
      <c r="J64" s="16">
        <f t="shared" si="10"/>
        <v>237796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5"/>
      <c r="V64" s="19">
        <f t="shared" si="11"/>
        <v>237796</v>
      </c>
      <c r="W64" s="20" t="s">
        <v>1173</v>
      </c>
      <c r="X64" s="37">
        <v>0</v>
      </c>
      <c r="Y64" s="37">
        <v>0</v>
      </c>
      <c r="Z64" s="79">
        <v>0</v>
      </c>
      <c r="AA64" s="19">
        <f t="shared" si="12"/>
        <v>237796</v>
      </c>
    </row>
    <row r="65" spans="1:27" s="12" customFormat="1" ht="93.75" customHeight="1" x14ac:dyDescent="0.25">
      <c r="A65" s="17">
        <f>IF(OR(D65=0,D65=""),"",COUNTA($D$19:D65))</f>
        <v>38</v>
      </c>
      <c r="B65" s="17" t="s">
        <v>695</v>
      </c>
      <c r="C65" s="90" t="s">
        <v>37</v>
      </c>
      <c r="D65" s="43">
        <v>1938</v>
      </c>
      <c r="E65" s="16">
        <v>696.38</v>
      </c>
      <c r="F65" s="16">
        <v>453.5</v>
      </c>
      <c r="G65" s="16">
        <v>0</v>
      </c>
      <c r="H65" s="17" t="s">
        <v>250</v>
      </c>
      <c r="I65" s="15"/>
      <c r="J65" s="16">
        <f t="shared" si="10"/>
        <v>236769.2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5"/>
      <c r="V65" s="19">
        <f t="shared" si="11"/>
        <v>236769.2</v>
      </c>
      <c r="W65" s="20" t="s">
        <v>1173</v>
      </c>
      <c r="X65" s="37">
        <v>0</v>
      </c>
      <c r="Y65" s="37">
        <v>0</v>
      </c>
      <c r="Z65" s="79">
        <v>0</v>
      </c>
      <c r="AA65" s="19">
        <f t="shared" si="12"/>
        <v>236769.2</v>
      </c>
    </row>
    <row r="66" spans="1:27" s="12" customFormat="1" ht="93.75" customHeight="1" x14ac:dyDescent="0.25">
      <c r="A66" s="17">
        <f>IF(OR(D66=0,D66=""),"",COUNTA($D$19:D66))</f>
        <v>39</v>
      </c>
      <c r="B66" s="17" t="s">
        <v>697</v>
      </c>
      <c r="C66" s="90" t="s">
        <v>39</v>
      </c>
      <c r="D66" s="43">
        <v>1939</v>
      </c>
      <c r="E66" s="16">
        <v>821</v>
      </c>
      <c r="F66" s="16">
        <v>307.10000000000002</v>
      </c>
      <c r="G66" s="16">
        <v>0</v>
      </c>
      <c r="H66" s="17" t="s">
        <v>250</v>
      </c>
      <c r="I66" s="15"/>
      <c r="J66" s="16">
        <f t="shared" si="10"/>
        <v>279140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5"/>
      <c r="V66" s="19">
        <f t="shared" si="11"/>
        <v>279140</v>
      </c>
      <c r="W66" s="20" t="s">
        <v>1173</v>
      </c>
      <c r="X66" s="37">
        <v>0</v>
      </c>
      <c r="Y66" s="37">
        <v>0</v>
      </c>
      <c r="Z66" s="79">
        <v>0</v>
      </c>
      <c r="AA66" s="19">
        <f t="shared" si="12"/>
        <v>279140</v>
      </c>
    </row>
    <row r="67" spans="1:27" s="12" customFormat="1" ht="93.75" customHeight="1" x14ac:dyDescent="0.25">
      <c r="A67" s="17">
        <f>IF(OR(D67=0,D67=""),"",COUNTA($D$19:D67))</f>
        <v>40</v>
      </c>
      <c r="B67" s="17" t="s">
        <v>696</v>
      </c>
      <c r="C67" s="90" t="s">
        <v>38</v>
      </c>
      <c r="D67" s="43">
        <v>1952</v>
      </c>
      <c r="E67" s="16">
        <v>768.4</v>
      </c>
      <c r="F67" s="16">
        <v>355.9</v>
      </c>
      <c r="G67" s="16">
        <v>0</v>
      </c>
      <c r="H67" s="17" t="s">
        <v>250</v>
      </c>
      <c r="I67" s="15"/>
      <c r="J67" s="16">
        <f t="shared" si="10"/>
        <v>261256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5"/>
      <c r="V67" s="19">
        <f t="shared" si="11"/>
        <v>261256</v>
      </c>
      <c r="W67" s="20" t="s">
        <v>1173</v>
      </c>
      <c r="X67" s="37">
        <v>0</v>
      </c>
      <c r="Y67" s="37">
        <v>0</v>
      </c>
      <c r="Z67" s="79">
        <v>0</v>
      </c>
      <c r="AA67" s="19">
        <f t="shared" si="12"/>
        <v>261256</v>
      </c>
    </row>
    <row r="68" spans="1:27" s="12" customFormat="1" ht="93.75" customHeight="1" x14ac:dyDescent="0.25">
      <c r="A68" s="17">
        <f>IF(OR(D68=0,D68=""),"",COUNTA($D$19:D68))</f>
        <v>41</v>
      </c>
      <c r="B68" s="17" t="s">
        <v>693</v>
      </c>
      <c r="C68" s="90" t="s">
        <v>35</v>
      </c>
      <c r="D68" s="43">
        <v>1953</v>
      </c>
      <c r="E68" s="16">
        <v>718.2</v>
      </c>
      <c r="F68" s="16">
        <v>490.3</v>
      </c>
      <c r="G68" s="16">
        <v>0</v>
      </c>
      <c r="H68" s="17" t="s">
        <v>250</v>
      </c>
      <c r="I68" s="15"/>
      <c r="J68" s="16">
        <f t="shared" si="10"/>
        <v>244188.00000000003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5"/>
      <c r="V68" s="19">
        <f t="shared" si="11"/>
        <v>244188.00000000003</v>
      </c>
      <c r="W68" s="20" t="s">
        <v>1173</v>
      </c>
      <c r="X68" s="37">
        <v>0</v>
      </c>
      <c r="Y68" s="37">
        <v>0</v>
      </c>
      <c r="Z68" s="79">
        <v>0</v>
      </c>
      <c r="AA68" s="19">
        <f t="shared" si="12"/>
        <v>244188.00000000003</v>
      </c>
    </row>
    <row r="69" spans="1:27" s="12" customFormat="1" ht="93.75" customHeight="1" x14ac:dyDescent="0.25">
      <c r="A69" s="17">
        <f>IF(OR(D69=0,D69=""),"",COUNTA($D$19:D69))</f>
        <v>42</v>
      </c>
      <c r="B69" s="17" t="s">
        <v>700</v>
      </c>
      <c r="C69" s="90" t="s">
        <v>309</v>
      </c>
      <c r="D69" s="43">
        <v>1981</v>
      </c>
      <c r="E69" s="16">
        <v>2292.7199999999998</v>
      </c>
      <c r="F69" s="16">
        <v>1284.5999999999999</v>
      </c>
      <c r="G69" s="16">
        <v>129</v>
      </c>
      <c r="H69" s="17" t="s">
        <v>254</v>
      </c>
      <c r="I69" s="15"/>
      <c r="J69" s="16"/>
      <c r="K69" s="16"/>
      <c r="L69" s="16"/>
      <c r="M69" s="16"/>
      <c r="N69" s="16"/>
      <c r="O69" s="16"/>
      <c r="P69" s="16"/>
      <c r="Q69" s="16"/>
      <c r="R69" s="16">
        <f>E69*1853</f>
        <v>4248410.1599999992</v>
      </c>
      <c r="S69" s="16"/>
      <c r="T69" s="16"/>
      <c r="U69" s="16"/>
      <c r="V69" s="19">
        <f t="shared" si="11"/>
        <v>4248410.1599999992</v>
      </c>
      <c r="W69" s="20" t="s">
        <v>1173</v>
      </c>
      <c r="X69" s="37">
        <v>0</v>
      </c>
      <c r="Y69" s="37">
        <v>0</v>
      </c>
      <c r="Z69" s="79">
        <v>0</v>
      </c>
      <c r="AA69" s="19">
        <f t="shared" si="12"/>
        <v>4248410.1599999992</v>
      </c>
    </row>
    <row r="70" spans="1:27" s="12" customFormat="1" ht="93.75" customHeight="1" x14ac:dyDescent="0.25">
      <c r="A70" s="17">
        <f>IF(OR(D70=0,D70=""),"",COUNTA($D$19:D70))</f>
        <v>43</v>
      </c>
      <c r="B70" s="17" t="s">
        <v>1149</v>
      </c>
      <c r="C70" s="90" t="s">
        <v>310</v>
      </c>
      <c r="D70" s="43">
        <v>1982</v>
      </c>
      <c r="E70" s="16">
        <v>2279.16</v>
      </c>
      <c r="F70" s="16">
        <v>1542</v>
      </c>
      <c r="G70" s="16">
        <v>0</v>
      </c>
      <c r="H70" s="17" t="s">
        <v>254</v>
      </c>
      <c r="I70" s="15"/>
      <c r="J70" s="16"/>
      <c r="K70" s="16"/>
      <c r="L70" s="16"/>
      <c r="M70" s="16"/>
      <c r="N70" s="16"/>
      <c r="O70" s="16"/>
      <c r="P70" s="16"/>
      <c r="Q70" s="16"/>
      <c r="R70" s="16">
        <f>E70*1853</f>
        <v>4223283.4799999995</v>
      </c>
      <c r="S70" s="16"/>
      <c r="T70" s="16"/>
      <c r="U70" s="16"/>
      <c r="V70" s="19">
        <f t="shared" si="11"/>
        <v>4223283.4799999995</v>
      </c>
      <c r="W70" s="20" t="s">
        <v>1173</v>
      </c>
      <c r="X70" s="37">
        <v>0</v>
      </c>
      <c r="Y70" s="37">
        <v>0</v>
      </c>
      <c r="Z70" s="79">
        <v>0</v>
      </c>
      <c r="AA70" s="19">
        <f t="shared" si="12"/>
        <v>4223283.4799999995</v>
      </c>
    </row>
    <row r="71" spans="1:27" s="13" customFormat="1" ht="93.75" customHeight="1" x14ac:dyDescent="0.25">
      <c r="A71" s="17" t="str">
        <f>IF(OR(D71=0,D71=""),"",COUNTA($D$19:D71))</f>
        <v/>
      </c>
      <c r="B71" s="17"/>
      <c r="C71" s="89"/>
      <c r="D71" s="21"/>
      <c r="E71" s="26">
        <f>SUM(E62:E70)</f>
        <v>9677.6</v>
      </c>
      <c r="F71" s="26">
        <f>SUM(F62:F70)</f>
        <v>5551.5</v>
      </c>
      <c r="G71" s="26">
        <f>SUM(G62:G70)</f>
        <v>129</v>
      </c>
      <c r="H71" s="17"/>
      <c r="I71" s="1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17"/>
      <c r="V71" s="26">
        <f>SUM(V62:V70)</f>
        <v>10207638.439999998</v>
      </c>
      <c r="W71" s="26"/>
      <c r="X71" s="26">
        <f>SUM(X62:X70)</f>
        <v>0</v>
      </c>
      <c r="Y71" s="26">
        <f>SUM(Y62:Y70)</f>
        <v>0</v>
      </c>
      <c r="Z71" s="80">
        <f>SUM(Z62:Z70)</f>
        <v>0</v>
      </c>
      <c r="AA71" s="28">
        <f t="shared" si="12"/>
        <v>10207638.439999998</v>
      </c>
    </row>
    <row r="72" spans="1:27" s="12" customFormat="1" ht="93.75" customHeight="1" x14ac:dyDescent="0.25">
      <c r="A72" s="17" t="str">
        <f>IF(OR(D72=0,D72=""),"",COUNTA($D$19:D72))</f>
        <v/>
      </c>
      <c r="B72" s="17"/>
      <c r="C72" s="89" t="s">
        <v>1211</v>
      </c>
      <c r="D72" s="43"/>
      <c r="E72" s="16"/>
      <c r="F72" s="16"/>
      <c r="G72" s="16"/>
      <c r="H72" s="17"/>
      <c r="I72" s="15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5"/>
      <c r="V72" s="19"/>
      <c r="W72" s="20"/>
      <c r="X72" s="37"/>
      <c r="Y72" s="37"/>
      <c r="Z72" s="20"/>
      <c r="AA72" s="19"/>
    </row>
    <row r="73" spans="1:27" s="12" customFormat="1" ht="93" customHeight="1" x14ac:dyDescent="0.25">
      <c r="A73" s="17">
        <f>IF(OR(D73=0,D73=""),"",COUNTA($D$19:D73))</f>
        <v>44</v>
      </c>
      <c r="B73" s="17" t="s">
        <v>947</v>
      </c>
      <c r="C73" s="90" t="s">
        <v>177</v>
      </c>
      <c r="D73" s="43">
        <v>1962</v>
      </c>
      <c r="E73" s="16">
        <v>2354.6999999999998</v>
      </c>
      <c r="F73" s="16">
        <v>1558.4</v>
      </c>
      <c r="G73" s="16">
        <v>12.6</v>
      </c>
      <c r="H73" s="17" t="s">
        <v>257</v>
      </c>
      <c r="I73" s="15"/>
      <c r="J73" s="16">
        <f>232*E73</f>
        <v>546290.39999999991</v>
      </c>
      <c r="K73" s="16">
        <f>412*E73</f>
        <v>970136.39999999991</v>
      </c>
      <c r="L73" s="16"/>
      <c r="M73" s="16">
        <f>249*E73</f>
        <v>586320.29999999993</v>
      </c>
      <c r="N73" s="16">
        <f>117*E73</f>
        <v>275499.89999999997</v>
      </c>
      <c r="O73" s="16"/>
      <c r="P73" s="16">
        <f>1972*E73</f>
        <v>4643468.3999999994</v>
      </c>
      <c r="Q73" s="16">
        <f>E73*113</f>
        <v>266081.09999999998</v>
      </c>
      <c r="R73" s="16">
        <f>E73*1917</f>
        <v>4513959.8999999994</v>
      </c>
      <c r="S73" s="16">
        <f>E73*90</f>
        <v>211922.99999999997</v>
      </c>
      <c r="T73" s="16"/>
      <c r="U73" s="15"/>
      <c r="V73" s="19">
        <f t="shared" ref="V73:V113" si="13">J73+K73+L73+M73+N73+O73+P73+Q73+R73+S73+T73+U73</f>
        <v>12013679.399999999</v>
      </c>
      <c r="W73" s="20" t="s">
        <v>1173</v>
      </c>
      <c r="X73" s="37">
        <v>0</v>
      </c>
      <c r="Y73" s="37">
        <v>0</v>
      </c>
      <c r="Z73" s="79">
        <v>0</v>
      </c>
      <c r="AA73" s="19">
        <f t="shared" ref="AA73:AA124" si="14">V73-(X73+Y73+Z73)</f>
        <v>12013679.399999999</v>
      </c>
    </row>
    <row r="74" spans="1:27" s="12" customFormat="1" ht="93" customHeight="1" x14ac:dyDescent="0.25">
      <c r="A74" s="17">
        <f>IF(OR(D74=0,D74=""),"",COUNTA($D$19:D74))</f>
        <v>45</v>
      </c>
      <c r="B74" s="17" t="s">
        <v>950</v>
      </c>
      <c r="C74" s="90" t="s">
        <v>179</v>
      </c>
      <c r="D74" s="43">
        <v>1966</v>
      </c>
      <c r="E74" s="16">
        <v>4481.7</v>
      </c>
      <c r="F74" s="16">
        <v>3516.9</v>
      </c>
      <c r="G74" s="16">
        <v>964.8</v>
      </c>
      <c r="H74" s="17" t="s">
        <v>257</v>
      </c>
      <c r="I74" s="16"/>
      <c r="J74" s="16">
        <v>1039754.3999999999</v>
      </c>
      <c r="K74" s="16">
        <v>1846460.4</v>
      </c>
      <c r="L74" s="16"/>
      <c r="M74" s="16">
        <v>1115943.3</v>
      </c>
      <c r="N74" s="16">
        <v>524358.9</v>
      </c>
      <c r="O74" s="15"/>
      <c r="P74" s="16"/>
      <c r="Q74" s="16"/>
      <c r="R74" s="16"/>
      <c r="S74" s="16"/>
      <c r="T74" s="16"/>
      <c r="U74" s="16"/>
      <c r="V74" s="19">
        <f t="shared" ref="V74" si="15">J74+K74+L74+M74+N74+O74+P74+Q74+R74+S74+T74+U74</f>
        <v>4526517</v>
      </c>
      <c r="W74" s="20" t="s">
        <v>1173</v>
      </c>
      <c r="X74" s="37">
        <v>0</v>
      </c>
      <c r="Y74" s="37">
        <v>0</v>
      </c>
      <c r="Z74" s="79">
        <v>0</v>
      </c>
      <c r="AA74" s="19">
        <f t="shared" si="14"/>
        <v>4526517</v>
      </c>
    </row>
    <row r="75" spans="1:27" s="12" customFormat="1" ht="93" customHeight="1" x14ac:dyDescent="0.25">
      <c r="A75" s="17">
        <f>IF(OR(D75=0,D75=""),"",COUNTA($D$19:D75))</f>
        <v>46</v>
      </c>
      <c r="B75" s="17" t="s">
        <v>712</v>
      </c>
      <c r="C75" s="90" t="s">
        <v>451</v>
      </c>
      <c r="D75" s="43">
        <v>1958</v>
      </c>
      <c r="E75" s="16">
        <v>5148.8999999999996</v>
      </c>
      <c r="F75" s="16">
        <v>3578.9</v>
      </c>
      <c r="G75" s="16">
        <v>252.8</v>
      </c>
      <c r="H75" s="17" t="s">
        <v>406</v>
      </c>
      <c r="I75" s="15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>
        <f>743*E75</f>
        <v>3825632.6999999997</v>
      </c>
      <c r="U75" s="15"/>
      <c r="V75" s="19">
        <f t="shared" si="13"/>
        <v>3825632.6999999997</v>
      </c>
      <c r="W75" s="20" t="s">
        <v>1173</v>
      </c>
      <c r="X75" s="37">
        <v>0</v>
      </c>
      <c r="Y75" s="37">
        <v>0</v>
      </c>
      <c r="Z75" s="79">
        <v>0</v>
      </c>
      <c r="AA75" s="19">
        <f t="shared" si="14"/>
        <v>3825632.6999999997</v>
      </c>
    </row>
    <row r="76" spans="1:27" s="12" customFormat="1" ht="93.6" customHeight="1" x14ac:dyDescent="0.25">
      <c r="A76" s="17">
        <f>IF(OR(D76=0,D76=""),"",COUNTA($D$19:D76))</f>
        <v>47</v>
      </c>
      <c r="B76" s="17" t="s">
        <v>722</v>
      </c>
      <c r="C76" s="90" t="s">
        <v>410</v>
      </c>
      <c r="D76" s="43">
        <v>1970</v>
      </c>
      <c r="E76" s="16">
        <f>F76+G76</f>
        <v>5687.8</v>
      </c>
      <c r="F76" s="16">
        <v>4356.8</v>
      </c>
      <c r="G76" s="16">
        <v>1331</v>
      </c>
      <c r="H76" s="17" t="s">
        <v>257</v>
      </c>
      <c r="I76" s="15"/>
      <c r="J76" s="16"/>
      <c r="K76" s="16"/>
      <c r="L76" s="16"/>
      <c r="M76" s="16"/>
      <c r="N76" s="16"/>
      <c r="O76" s="16"/>
      <c r="P76" s="16">
        <f>1972*E76</f>
        <v>11216341.6</v>
      </c>
      <c r="Q76" s="16"/>
      <c r="R76" s="16"/>
      <c r="S76" s="16"/>
      <c r="T76" s="16"/>
      <c r="U76" s="15"/>
      <c r="V76" s="19">
        <f t="shared" si="13"/>
        <v>11216341.6</v>
      </c>
      <c r="W76" s="20" t="s">
        <v>1173</v>
      </c>
      <c r="X76" s="37">
        <v>0</v>
      </c>
      <c r="Y76" s="37">
        <v>0</v>
      </c>
      <c r="Z76" s="79">
        <v>0</v>
      </c>
      <c r="AA76" s="19">
        <f t="shared" si="14"/>
        <v>11216341.6</v>
      </c>
    </row>
    <row r="77" spans="1:27" s="12" customFormat="1" ht="93.6" customHeight="1" x14ac:dyDescent="0.25">
      <c r="A77" s="17">
        <f>IF(OR(D77=0,D77=""),"",COUNTA($D$19:D77))</f>
        <v>48</v>
      </c>
      <c r="B77" s="17" t="s">
        <v>940</v>
      </c>
      <c r="C77" s="90" t="s">
        <v>174</v>
      </c>
      <c r="D77" s="43">
        <v>1966</v>
      </c>
      <c r="E77" s="16">
        <v>4509.6000000000004</v>
      </c>
      <c r="F77" s="16">
        <v>2474</v>
      </c>
      <c r="G77" s="16">
        <v>412.3</v>
      </c>
      <c r="H77" s="17" t="s">
        <v>257</v>
      </c>
      <c r="I77" s="15"/>
      <c r="J77" s="16"/>
      <c r="K77" s="16"/>
      <c r="L77" s="16"/>
      <c r="M77" s="16"/>
      <c r="N77" s="16"/>
      <c r="O77" s="16"/>
      <c r="P77" s="16">
        <f>1972*E77</f>
        <v>8892931.2000000011</v>
      </c>
      <c r="Q77" s="16"/>
      <c r="R77" s="16"/>
      <c r="S77" s="16"/>
      <c r="T77" s="16"/>
      <c r="U77" s="15"/>
      <c r="V77" s="19">
        <f t="shared" si="13"/>
        <v>8892931.2000000011</v>
      </c>
      <c r="W77" s="20" t="s">
        <v>1173</v>
      </c>
      <c r="X77" s="37">
        <v>0</v>
      </c>
      <c r="Y77" s="37">
        <v>0</v>
      </c>
      <c r="Z77" s="79">
        <v>0</v>
      </c>
      <c r="AA77" s="19">
        <f t="shared" si="14"/>
        <v>8892931.2000000011</v>
      </c>
    </row>
    <row r="78" spans="1:27" s="12" customFormat="1" ht="93.6" customHeight="1" x14ac:dyDescent="0.25">
      <c r="A78" s="17">
        <f>IF(OR(D78=0,D78=""),"",COUNTA($D$19:D78))</f>
        <v>49</v>
      </c>
      <c r="B78" s="17" t="s">
        <v>945</v>
      </c>
      <c r="C78" s="90" t="s">
        <v>412</v>
      </c>
      <c r="D78" s="43">
        <v>1969</v>
      </c>
      <c r="E78" s="16">
        <f>F78+G78</f>
        <v>5108.3999999999996</v>
      </c>
      <c r="F78" s="16">
        <v>3412.7</v>
      </c>
      <c r="G78" s="16">
        <f>1376.5+319.2</f>
        <v>1695.7</v>
      </c>
      <c r="H78" s="17" t="s">
        <v>257</v>
      </c>
      <c r="I78" s="15"/>
      <c r="J78" s="16"/>
      <c r="K78" s="16"/>
      <c r="L78" s="16"/>
      <c r="M78" s="16"/>
      <c r="N78" s="16"/>
      <c r="O78" s="16"/>
      <c r="P78" s="16">
        <f>1972*E78</f>
        <v>10073764.799999999</v>
      </c>
      <c r="Q78" s="16"/>
      <c r="R78" s="16"/>
      <c r="S78" s="16"/>
      <c r="T78" s="16"/>
      <c r="U78" s="15"/>
      <c r="V78" s="19">
        <f t="shared" si="13"/>
        <v>10073764.799999999</v>
      </c>
      <c r="W78" s="20" t="s">
        <v>1173</v>
      </c>
      <c r="X78" s="37">
        <v>0</v>
      </c>
      <c r="Y78" s="37">
        <v>0</v>
      </c>
      <c r="Z78" s="79">
        <v>0</v>
      </c>
      <c r="AA78" s="19">
        <f t="shared" si="14"/>
        <v>10073764.799999999</v>
      </c>
    </row>
    <row r="79" spans="1:27" s="12" customFormat="1" ht="93.6" customHeight="1" x14ac:dyDescent="0.25">
      <c r="A79" s="17">
        <f>IF(OR(D79=0,D79=""),"",COUNTA($D$19:D79))</f>
        <v>50</v>
      </c>
      <c r="B79" s="17" t="s">
        <v>946</v>
      </c>
      <c r="C79" s="90" t="s">
        <v>413</v>
      </c>
      <c r="D79" s="43">
        <v>1967</v>
      </c>
      <c r="E79" s="16">
        <f>F79+G79</f>
        <v>5108.3999999999996</v>
      </c>
      <c r="F79" s="16">
        <v>3512.2</v>
      </c>
      <c r="G79" s="16">
        <v>1596.2</v>
      </c>
      <c r="H79" s="17" t="s">
        <v>257</v>
      </c>
      <c r="I79" s="15"/>
      <c r="J79" s="16"/>
      <c r="K79" s="16"/>
      <c r="L79" s="16"/>
      <c r="M79" s="16"/>
      <c r="N79" s="16"/>
      <c r="O79" s="16"/>
      <c r="P79" s="16">
        <f>1972*E79</f>
        <v>10073764.799999999</v>
      </c>
      <c r="Q79" s="16"/>
      <c r="R79" s="16"/>
      <c r="S79" s="16"/>
      <c r="T79" s="16"/>
      <c r="U79" s="15"/>
      <c r="V79" s="19">
        <f t="shared" si="13"/>
        <v>10073764.799999999</v>
      </c>
      <c r="W79" s="20" t="s">
        <v>1173</v>
      </c>
      <c r="X79" s="37">
        <v>0</v>
      </c>
      <c r="Y79" s="37">
        <v>0</v>
      </c>
      <c r="Z79" s="79">
        <v>0</v>
      </c>
      <c r="AA79" s="19">
        <f t="shared" si="14"/>
        <v>10073764.799999999</v>
      </c>
    </row>
    <row r="80" spans="1:27" s="12" customFormat="1" ht="93.6" customHeight="1" x14ac:dyDescent="0.25">
      <c r="A80" s="17">
        <f>IF(OR(D80=0,D80=""),"",COUNTA($D$19:D80))</f>
        <v>51</v>
      </c>
      <c r="B80" s="17" t="s">
        <v>798</v>
      </c>
      <c r="C80" s="90" t="s">
        <v>404</v>
      </c>
      <c r="D80" s="43">
        <v>1978</v>
      </c>
      <c r="E80" s="16">
        <v>3640.1</v>
      </c>
      <c r="F80" s="16">
        <v>2782.3</v>
      </c>
      <c r="G80" s="16">
        <v>0</v>
      </c>
      <c r="H80" s="17" t="s">
        <v>257</v>
      </c>
      <c r="I80" s="15"/>
      <c r="J80" s="16"/>
      <c r="K80" s="16"/>
      <c r="L80" s="16"/>
      <c r="M80" s="16"/>
      <c r="N80" s="16"/>
      <c r="O80" s="16"/>
      <c r="P80" s="16">
        <f>1972*E80</f>
        <v>7178277.2000000002</v>
      </c>
      <c r="Q80" s="16"/>
      <c r="R80" s="16"/>
      <c r="S80" s="16"/>
      <c r="T80" s="16"/>
      <c r="U80" s="16"/>
      <c r="V80" s="19">
        <f t="shared" si="13"/>
        <v>7178277.2000000002</v>
      </c>
      <c r="W80" s="20" t="s">
        <v>1173</v>
      </c>
      <c r="X80" s="37">
        <v>0</v>
      </c>
      <c r="Y80" s="37">
        <v>0</v>
      </c>
      <c r="Z80" s="79">
        <v>0</v>
      </c>
      <c r="AA80" s="19">
        <f t="shared" si="14"/>
        <v>7178277.2000000002</v>
      </c>
    </row>
    <row r="81" spans="1:27" s="12" customFormat="1" ht="93.6" customHeight="1" x14ac:dyDescent="0.25">
      <c r="A81" s="17">
        <f>IF(OR(D81=0,D81=""),"",COUNTA($D$19:D81))</f>
        <v>52</v>
      </c>
      <c r="B81" s="17" t="s">
        <v>996</v>
      </c>
      <c r="C81" s="90" t="s">
        <v>293</v>
      </c>
      <c r="D81" s="43">
        <v>1958</v>
      </c>
      <c r="E81" s="16">
        <v>4075.7</v>
      </c>
      <c r="F81" s="16">
        <v>1736.8</v>
      </c>
      <c r="G81" s="16">
        <v>268.7</v>
      </c>
      <c r="H81" s="17" t="s">
        <v>254</v>
      </c>
      <c r="I81" s="15"/>
      <c r="J81" s="16"/>
      <c r="K81" s="16"/>
      <c r="L81" s="23"/>
      <c r="M81" s="16"/>
      <c r="N81" s="16"/>
      <c r="O81" s="16"/>
      <c r="P81" s="16">
        <f>E81*1919</f>
        <v>7821268.2999999998</v>
      </c>
      <c r="Q81" s="16"/>
      <c r="R81" s="16"/>
      <c r="S81" s="16"/>
      <c r="T81" s="23"/>
      <c r="U81" s="16"/>
      <c r="V81" s="19">
        <f t="shared" si="13"/>
        <v>7821268.2999999998</v>
      </c>
      <c r="W81" s="20" t="s">
        <v>1173</v>
      </c>
      <c r="X81" s="37">
        <v>0</v>
      </c>
      <c r="Y81" s="37">
        <v>0</v>
      </c>
      <c r="Z81" s="79">
        <v>0</v>
      </c>
      <c r="AA81" s="19">
        <f t="shared" si="14"/>
        <v>7821268.2999999998</v>
      </c>
    </row>
    <row r="82" spans="1:27" s="12" customFormat="1" ht="93.6" customHeight="1" x14ac:dyDescent="0.25">
      <c r="A82" s="17">
        <f>IF(OR(D82=0,D82=""),"",COUNTA($D$19:D82))</f>
        <v>53</v>
      </c>
      <c r="B82" s="17" t="s">
        <v>904</v>
      </c>
      <c r="C82" s="90" t="s">
        <v>394</v>
      </c>
      <c r="D82" s="43">
        <v>1967</v>
      </c>
      <c r="E82" s="16">
        <v>6590.98</v>
      </c>
      <c r="F82" s="16">
        <v>4374.1000000000004</v>
      </c>
      <c r="G82" s="16">
        <v>1569.6</v>
      </c>
      <c r="H82" s="17" t="s">
        <v>257</v>
      </c>
      <c r="I82" s="44"/>
      <c r="J82" s="16"/>
      <c r="K82" s="16"/>
      <c r="L82" s="16"/>
      <c r="M82" s="16"/>
      <c r="N82" s="16"/>
      <c r="O82" s="16"/>
      <c r="P82" s="16"/>
      <c r="Q82" s="16"/>
      <c r="R82" s="16">
        <f t="shared" ref="R82:R89" si="16">E82*1917</f>
        <v>12634908.659999998</v>
      </c>
      <c r="S82" s="16"/>
      <c r="T82" s="16"/>
      <c r="U82" s="15"/>
      <c r="V82" s="19">
        <f t="shared" si="13"/>
        <v>12634908.659999998</v>
      </c>
      <c r="W82" s="20" t="s">
        <v>1173</v>
      </c>
      <c r="X82" s="37">
        <v>0</v>
      </c>
      <c r="Y82" s="37">
        <v>0</v>
      </c>
      <c r="Z82" s="79">
        <v>0</v>
      </c>
      <c r="AA82" s="19">
        <f t="shared" si="14"/>
        <v>12634908.659999998</v>
      </c>
    </row>
    <row r="83" spans="1:27" s="12" customFormat="1" ht="93.6" customHeight="1" x14ac:dyDescent="0.25">
      <c r="A83" s="17">
        <f>IF(OR(D83=0,D83=""),"",COUNTA($D$19:D83))</f>
        <v>54</v>
      </c>
      <c r="B83" s="17" t="s">
        <v>905</v>
      </c>
      <c r="C83" s="90" t="s">
        <v>159</v>
      </c>
      <c r="D83" s="43">
        <v>1968</v>
      </c>
      <c r="E83" s="16">
        <v>4353.88</v>
      </c>
      <c r="F83" s="16">
        <v>2720.6</v>
      </c>
      <c r="G83" s="16">
        <v>1026.8</v>
      </c>
      <c r="H83" s="17" t="s">
        <v>257</v>
      </c>
      <c r="I83" s="44"/>
      <c r="J83" s="16"/>
      <c r="K83" s="16"/>
      <c r="L83" s="16"/>
      <c r="M83" s="16"/>
      <c r="N83" s="16"/>
      <c r="O83" s="16"/>
      <c r="P83" s="16"/>
      <c r="Q83" s="16"/>
      <c r="R83" s="16">
        <f t="shared" si="16"/>
        <v>8346387.96</v>
      </c>
      <c r="S83" s="16"/>
      <c r="T83" s="16"/>
      <c r="U83" s="15"/>
      <c r="V83" s="19">
        <f t="shared" si="13"/>
        <v>8346387.96</v>
      </c>
      <c r="W83" s="20" t="s">
        <v>1173</v>
      </c>
      <c r="X83" s="37">
        <v>0</v>
      </c>
      <c r="Y83" s="37">
        <v>0</v>
      </c>
      <c r="Z83" s="79">
        <v>0</v>
      </c>
      <c r="AA83" s="19">
        <f t="shared" si="14"/>
        <v>8346387.96</v>
      </c>
    </row>
    <row r="84" spans="1:27" s="12" customFormat="1" ht="93.6" customHeight="1" x14ac:dyDescent="0.25">
      <c r="A84" s="17">
        <f>IF(OR(D84=0,D84=""),"",COUNTA($D$19:D84))</f>
        <v>55</v>
      </c>
      <c r="B84" s="17" t="s">
        <v>751</v>
      </c>
      <c r="C84" s="90" t="s">
        <v>398</v>
      </c>
      <c r="D84" s="43">
        <v>1967</v>
      </c>
      <c r="E84" s="16">
        <v>4907.2</v>
      </c>
      <c r="F84" s="16">
        <v>3889</v>
      </c>
      <c r="G84" s="16">
        <v>2410</v>
      </c>
      <c r="H84" s="17" t="s">
        <v>257</v>
      </c>
      <c r="I84" s="44"/>
      <c r="J84" s="16"/>
      <c r="K84" s="16"/>
      <c r="L84" s="16"/>
      <c r="M84" s="16"/>
      <c r="N84" s="16"/>
      <c r="O84" s="16"/>
      <c r="P84" s="16"/>
      <c r="Q84" s="16"/>
      <c r="R84" s="16">
        <f t="shared" si="16"/>
        <v>9407102.4000000004</v>
      </c>
      <c r="S84" s="16"/>
      <c r="T84" s="16"/>
      <c r="U84" s="15"/>
      <c r="V84" s="19">
        <f t="shared" si="13"/>
        <v>9407102.4000000004</v>
      </c>
      <c r="W84" s="20" t="s">
        <v>1173</v>
      </c>
      <c r="X84" s="37">
        <v>0</v>
      </c>
      <c r="Y84" s="37">
        <v>0</v>
      </c>
      <c r="Z84" s="79">
        <v>0</v>
      </c>
      <c r="AA84" s="19">
        <f t="shared" si="14"/>
        <v>9407102.4000000004</v>
      </c>
    </row>
    <row r="85" spans="1:27" s="12" customFormat="1" ht="93.6" customHeight="1" x14ac:dyDescent="0.25">
      <c r="A85" s="17">
        <f>IF(OR(D85=0,D85=""),"",COUNTA($D$19:D85))</f>
        <v>56</v>
      </c>
      <c r="B85" s="17" t="s">
        <v>801</v>
      </c>
      <c r="C85" s="90" t="s">
        <v>393</v>
      </c>
      <c r="D85" s="43">
        <v>1972</v>
      </c>
      <c r="E85" s="16">
        <v>6073.6</v>
      </c>
      <c r="F85" s="16">
        <v>4402</v>
      </c>
      <c r="G85" s="16">
        <v>1671.6</v>
      </c>
      <c r="H85" s="17" t="s">
        <v>257</v>
      </c>
      <c r="I85" s="15"/>
      <c r="J85" s="16"/>
      <c r="K85" s="16"/>
      <c r="L85" s="16"/>
      <c r="M85" s="16"/>
      <c r="N85" s="16"/>
      <c r="O85" s="16"/>
      <c r="P85" s="16"/>
      <c r="Q85" s="16"/>
      <c r="R85" s="16">
        <f t="shared" si="16"/>
        <v>11643091.200000001</v>
      </c>
      <c r="S85" s="16"/>
      <c r="T85" s="16"/>
      <c r="U85" s="15"/>
      <c r="V85" s="19">
        <f t="shared" si="13"/>
        <v>11643091.200000001</v>
      </c>
      <c r="W85" s="20" t="s">
        <v>1173</v>
      </c>
      <c r="X85" s="37">
        <v>0</v>
      </c>
      <c r="Y85" s="37">
        <v>0</v>
      </c>
      <c r="Z85" s="79">
        <v>0</v>
      </c>
      <c r="AA85" s="19">
        <f t="shared" si="14"/>
        <v>11643091.200000001</v>
      </c>
    </row>
    <row r="86" spans="1:27" s="12" customFormat="1" ht="93.6" customHeight="1" x14ac:dyDescent="0.25">
      <c r="A86" s="17">
        <f>IF(OR(D86=0,D86=""),"",COUNTA($D$19:D86))</f>
        <v>57</v>
      </c>
      <c r="B86" s="17" t="s">
        <v>750</v>
      </c>
      <c r="C86" s="90" t="s">
        <v>67</v>
      </c>
      <c r="D86" s="43">
        <v>1970</v>
      </c>
      <c r="E86" s="16">
        <v>5786.3</v>
      </c>
      <c r="F86" s="16">
        <v>4443.3</v>
      </c>
      <c r="G86" s="16">
        <v>0</v>
      </c>
      <c r="H86" s="17" t="s">
        <v>257</v>
      </c>
      <c r="I86" s="15"/>
      <c r="J86" s="16"/>
      <c r="K86" s="16"/>
      <c r="L86" s="16"/>
      <c r="M86" s="16"/>
      <c r="N86" s="16"/>
      <c r="O86" s="16"/>
      <c r="P86" s="16"/>
      <c r="Q86" s="16"/>
      <c r="R86" s="16">
        <f t="shared" si="16"/>
        <v>11092337.1</v>
      </c>
      <c r="S86" s="16"/>
      <c r="T86" s="16"/>
      <c r="U86" s="15"/>
      <c r="V86" s="19">
        <f t="shared" si="13"/>
        <v>11092337.1</v>
      </c>
      <c r="W86" s="20" t="s">
        <v>1173</v>
      </c>
      <c r="X86" s="37">
        <v>0</v>
      </c>
      <c r="Y86" s="37">
        <v>0</v>
      </c>
      <c r="Z86" s="79">
        <v>0</v>
      </c>
      <c r="AA86" s="19">
        <f t="shared" si="14"/>
        <v>11092337.1</v>
      </c>
    </row>
    <row r="87" spans="1:27" s="12" customFormat="1" ht="93.6" customHeight="1" x14ac:dyDescent="0.25">
      <c r="A87" s="17">
        <f>IF(OR(D87=0,D87=""),"",COUNTA($D$19:D87))</f>
        <v>58</v>
      </c>
      <c r="B87" s="17" t="s">
        <v>835</v>
      </c>
      <c r="C87" s="90" t="s">
        <v>392</v>
      </c>
      <c r="D87" s="43">
        <v>1971</v>
      </c>
      <c r="E87" s="16">
        <v>7602.5</v>
      </c>
      <c r="F87" s="16">
        <v>5648.6</v>
      </c>
      <c r="G87" s="16">
        <v>118.3</v>
      </c>
      <c r="H87" s="17" t="s">
        <v>257</v>
      </c>
      <c r="I87" s="15"/>
      <c r="J87" s="16"/>
      <c r="K87" s="16"/>
      <c r="L87" s="16"/>
      <c r="M87" s="16"/>
      <c r="N87" s="16"/>
      <c r="O87" s="16"/>
      <c r="P87" s="16"/>
      <c r="Q87" s="16"/>
      <c r="R87" s="16">
        <f t="shared" si="16"/>
        <v>14573992.5</v>
      </c>
      <c r="S87" s="16"/>
      <c r="T87" s="16"/>
      <c r="U87" s="15"/>
      <c r="V87" s="19">
        <f t="shared" si="13"/>
        <v>14573992.5</v>
      </c>
      <c r="W87" s="20" t="s">
        <v>1173</v>
      </c>
      <c r="X87" s="37">
        <v>0</v>
      </c>
      <c r="Y87" s="37">
        <v>0</v>
      </c>
      <c r="Z87" s="79">
        <v>0</v>
      </c>
      <c r="AA87" s="19">
        <f t="shared" si="14"/>
        <v>14573992.5</v>
      </c>
    </row>
    <row r="88" spans="1:27" s="12" customFormat="1" ht="93.6" customHeight="1" x14ac:dyDescent="0.25">
      <c r="A88" s="17">
        <f>IF(OR(D88=0,D88=""),"",COUNTA($D$19:D88))</f>
        <v>59</v>
      </c>
      <c r="B88" s="17" t="s">
        <v>987</v>
      </c>
      <c r="C88" s="90" t="s">
        <v>365</v>
      </c>
      <c r="D88" s="43">
        <v>1975</v>
      </c>
      <c r="E88" s="16">
        <v>7876.73</v>
      </c>
      <c r="F88" s="16">
        <v>5766.55</v>
      </c>
      <c r="G88" s="16">
        <v>1812.6</v>
      </c>
      <c r="H88" s="17" t="s">
        <v>257</v>
      </c>
      <c r="I88" s="15"/>
      <c r="J88" s="16"/>
      <c r="K88" s="16"/>
      <c r="L88" s="16"/>
      <c r="M88" s="16"/>
      <c r="N88" s="16"/>
      <c r="O88" s="16"/>
      <c r="P88" s="16">
        <f>1972*E88</f>
        <v>15532911.559999999</v>
      </c>
      <c r="Q88" s="16"/>
      <c r="R88" s="16">
        <f t="shared" si="16"/>
        <v>15099691.409999998</v>
      </c>
      <c r="S88" s="16"/>
      <c r="T88" s="16"/>
      <c r="U88" s="15"/>
      <c r="V88" s="19">
        <f t="shared" si="13"/>
        <v>30632602.969999999</v>
      </c>
      <c r="W88" s="20" t="s">
        <v>1173</v>
      </c>
      <c r="X88" s="37">
        <v>0</v>
      </c>
      <c r="Y88" s="37">
        <v>0</v>
      </c>
      <c r="Z88" s="79">
        <v>0</v>
      </c>
      <c r="AA88" s="19">
        <f t="shared" si="14"/>
        <v>30632602.969999999</v>
      </c>
    </row>
    <row r="89" spans="1:27" s="12" customFormat="1" ht="93.6" customHeight="1" x14ac:dyDescent="0.25">
      <c r="A89" s="17">
        <f>IF(OR(D89=0,D89=""),"",COUNTA($D$19:D89))</f>
        <v>60</v>
      </c>
      <c r="B89" s="17" t="s">
        <v>985</v>
      </c>
      <c r="C89" s="90" t="s">
        <v>366</v>
      </c>
      <c r="D89" s="43">
        <v>1975</v>
      </c>
      <c r="E89" s="16">
        <v>7410.3</v>
      </c>
      <c r="F89" s="16">
        <v>5753.7</v>
      </c>
      <c r="G89" s="16">
        <v>1656.6</v>
      </c>
      <c r="H89" s="17" t="s">
        <v>257</v>
      </c>
      <c r="I89" s="15"/>
      <c r="J89" s="16"/>
      <c r="K89" s="16"/>
      <c r="L89" s="16"/>
      <c r="M89" s="16"/>
      <c r="N89" s="16"/>
      <c r="O89" s="16"/>
      <c r="P89" s="16">
        <f>1972*E89</f>
        <v>14613111.6</v>
      </c>
      <c r="Q89" s="16"/>
      <c r="R89" s="16">
        <f t="shared" si="16"/>
        <v>14205545.1</v>
      </c>
      <c r="S89" s="16"/>
      <c r="T89" s="16"/>
      <c r="U89" s="15"/>
      <c r="V89" s="19">
        <f t="shared" si="13"/>
        <v>28818656.699999999</v>
      </c>
      <c r="W89" s="20" t="s">
        <v>1173</v>
      </c>
      <c r="X89" s="37">
        <v>0</v>
      </c>
      <c r="Y89" s="37">
        <v>0</v>
      </c>
      <c r="Z89" s="79">
        <v>0</v>
      </c>
      <c r="AA89" s="19">
        <f t="shared" si="14"/>
        <v>28818656.699999999</v>
      </c>
    </row>
    <row r="90" spans="1:27" s="12" customFormat="1" ht="93.6" customHeight="1" x14ac:dyDescent="0.25">
      <c r="A90" s="17">
        <f>IF(OR(D90=0,D90=""),"",COUNTA($D$19:D90))</f>
        <v>61</v>
      </c>
      <c r="B90" s="17" t="s">
        <v>935</v>
      </c>
      <c r="C90" s="90" t="s">
        <v>367</v>
      </c>
      <c r="D90" s="43">
        <v>1983</v>
      </c>
      <c r="E90" s="16">
        <v>10633</v>
      </c>
      <c r="F90" s="16">
        <v>7371.2</v>
      </c>
      <c r="G90" s="16">
        <v>179.4</v>
      </c>
      <c r="H90" s="17" t="s">
        <v>257</v>
      </c>
      <c r="I90" s="15"/>
      <c r="J90" s="16"/>
      <c r="K90" s="16"/>
      <c r="L90" s="16"/>
      <c r="M90" s="16"/>
      <c r="N90" s="16"/>
      <c r="O90" s="16"/>
      <c r="P90" s="16">
        <f>1972*E90</f>
        <v>20968276</v>
      </c>
      <c r="Q90" s="16"/>
      <c r="R90" s="16"/>
      <c r="S90" s="16"/>
      <c r="T90" s="16"/>
      <c r="U90" s="15"/>
      <c r="V90" s="19">
        <f t="shared" si="13"/>
        <v>20968276</v>
      </c>
      <c r="W90" s="20" t="s">
        <v>1173</v>
      </c>
      <c r="X90" s="37">
        <v>0</v>
      </c>
      <c r="Y90" s="37">
        <v>0</v>
      </c>
      <c r="Z90" s="79">
        <v>0</v>
      </c>
      <c r="AA90" s="19">
        <f t="shared" si="14"/>
        <v>20968276</v>
      </c>
    </row>
    <row r="91" spans="1:27" s="12" customFormat="1" ht="93.6" customHeight="1" x14ac:dyDescent="0.25">
      <c r="A91" s="17">
        <f>IF(OR(D91=0,D91=""),"",COUNTA($D$19:D91))</f>
        <v>62</v>
      </c>
      <c r="B91" s="17" t="s">
        <v>824</v>
      </c>
      <c r="C91" s="90" t="s">
        <v>368</v>
      </c>
      <c r="D91" s="43">
        <v>1969</v>
      </c>
      <c r="E91" s="16">
        <v>5794.9</v>
      </c>
      <c r="F91" s="16">
        <v>4359.3</v>
      </c>
      <c r="G91" s="16">
        <v>87.4</v>
      </c>
      <c r="H91" s="17" t="s">
        <v>257</v>
      </c>
      <c r="I91" s="15"/>
      <c r="J91" s="16"/>
      <c r="K91" s="16">
        <f>412*E91</f>
        <v>2387498.7999999998</v>
      </c>
      <c r="L91" s="16"/>
      <c r="M91" s="16">
        <f>249*E91</f>
        <v>1442930.0999999999</v>
      </c>
      <c r="N91" s="16">
        <f>117*E91</f>
        <v>678003.29999999993</v>
      </c>
      <c r="O91" s="16"/>
      <c r="P91" s="16"/>
      <c r="Q91" s="16">
        <f>E91*113</f>
        <v>654823.69999999995</v>
      </c>
      <c r="R91" s="16">
        <f>E91*1917</f>
        <v>11108823.299999999</v>
      </c>
      <c r="S91" s="16">
        <f>E91*90</f>
        <v>521540.99999999994</v>
      </c>
      <c r="T91" s="16"/>
      <c r="U91" s="16">
        <f>(J91+K91+L91+M91+N91+O91+P91+Q91+R91+S91+T91)*0.0214</f>
        <v>359383.47227999999</v>
      </c>
      <c r="V91" s="19">
        <f t="shared" si="13"/>
        <v>17153003.672279999</v>
      </c>
      <c r="W91" s="20" t="s">
        <v>1173</v>
      </c>
      <c r="X91" s="37">
        <v>0</v>
      </c>
      <c r="Y91" s="37">
        <v>0</v>
      </c>
      <c r="Z91" s="79">
        <v>0</v>
      </c>
      <c r="AA91" s="19">
        <f t="shared" si="14"/>
        <v>17153003.672279999</v>
      </c>
    </row>
    <row r="92" spans="1:27" s="12" customFormat="1" ht="93.6" customHeight="1" x14ac:dyDescent="0.25">
      <c r="A92" s="17">
        <f>IF(OR(D92=0,D92=""),"",COUNTA($D$19:D92))</f>
        <v>63</v>
      </c>
      <c r="B92" s="17" t="s">
        <v>814</v>
      </c>
      <c r="C92" s="90" t="s">
        <v>370</v>
      </c>
      <c r="D92" s="43">
        <v>1973</v>
      </c>
      <c r="E92" s="16">
        <v>2433.6999999999998</v>
      </c>
      <c r="F92" s="16">
        <v>1845.5</v>
      </c>
      <c r="G92" s="16">
        <v>0</v>
      </c>
      <c r="H92" s="17" t="s">
        <v>257</v>
      </c>
      <c r="I92" s="15"/>
      <c r="J92" s="16"/>
      <c r="K92" s="16"/>
      <c r="L92" s="16"/>
      <c r="M92" s="16"/>
      <c r="N92" s="16"/>
      <c r="O92" s="16"/>
      <c r="P92" s="16">
        <f>1972*E92</f>
        <v>4799256.3999999994</v>
      </c>
      <c r="Q92" s="16"/>
      <c r="R92" s="16"/>
      <c r="S92" s="16"/>
      <c r="T92" s="16"/>
      <c r="U92" s="15"/>
      <c r="V92" s="19">
        <f t="shared" si="13"/>
        <v>4799256.3999999994</v>
      </c>
      <c r="W92" s="20" t="s">
        <v>1173</v>
      </c>
      <c r="X92" s="37">
        <v>0</v>
      </c>
      <c r="Y92" s="37">
        <v>0</v>
      </c>
      <c r="Z92" s="79">
        <v>0</v>
      </c>
      <c r="AA92" s="19">
        <f t="shared" si="14"/>
        <v>4799256.3999999994</v>
      </c>
    </row>
    <row r="93" spans="1:27" s="12" customFormat="1" ht="93.6" customHeight="1" x14ac:dyDescent="0.25">
      <c r="A93" s="17">
        <f>IF(OR(D93=0,D93=""),"",COUNTA($D$19:D93))</f>
        <v>64</v>
      </c>
      <c r="B93" s="17" t="s">
        <v>815</v>
      </c>
      <c r="C93" s="90" t="s">
        <v>371</v>
      </c>
      <c r="D93" s="43">
        <v>1973</v>
      </c>
      <c r="E93" s="16">
        <v>2434.5</v>
      </c>
      <c r="F93" s="16">
        <v>1846.7</v>
      </c>
      <c r="G93" s="16">
        <v>0</v>
      </c>
      <c r="H93" s="17" t="s">
        <v>257</v>
      </c>
      <c r="I93" s="15"/>
      <c r="J93" s="16"/>
      <c r="K93" s="16"/>
      <c r="L93" s="16"/>
      <c r="M93" s="16"/>
      <c r="N93" s="16"/>
      <c r="O93" s="16"/>
      <c r="P93" s="16">
        <f>1972*E93</f>
        <v>4800834</v>
      </c>
      <c r="Q93" s="16"/>
      <c r="R93" s="16"/>
      <c r="S93" s="16"/>
      <c r="T93" s="16"/>
      <c r="U93" s="15"/>
      <c r="V93" s="19">
        <f t="shared" si="13"/>
        <v>4800834</v>
      </c>
      <c r="W93" s="20" t="s">
        <v>1173</v>
      </c>
      <c r="X93" s="37">
        <v>0</v>
      </c>
      <c r="Y93" s="37">
        <v>0</v>
      </c>
      <c r="Z93" s="79">
        <v>0</v>
      </c>
      <c r="AA93" s="19">
        <f t="shared" si="14"/>
        <v>4800834</v>
      </c>
    </row>
    <row r="94" spans="1:27" s="12" customFormat="1" ht="93.6" customHeight="1" x14ac:dyDescent="0.25">
      <c r="A94" s="17">
        <f>IF(OR(D94=0,D94=""),"",COUNTA($D$19:D94))</f>
        <v>65</v>
      </c>
      <c r="B94" s="17" t="s">
        <v>812</v>
      </c>
      <c r="C94" s="90" t="s">
        <v>372</v>
      </c>
      <c r="D94" s="43">
        <v>1973</v>
      </c>
      <c r="E94" s="16">
        <v>2384</v>
      </c>
      <c r="F94" s="16">
        <v>1797</v>
      </c>
      <c r="G94" s="16">
        <v>0</v>
      </c>
      <c r="H94" s="17" t="s">
        <v>257</v>
      </c>
      <c r="I94" s="15"/>
      <c r="J94" s="16"/>
      <c r="K94" s="16"/>
      <c r="L94" s="16"/>
      <c r="M94" s="16"/>
      <c r="N94" s="16"/>
      <c r="O94" s="16"/>
      <c r="P94" s="16">
        <f>1972*E94</f>
        <v>4701248</v>
      </c>
      <c r="Q94" s="16"/>
      <c r="R94" s="16">
        <f>E94*1917</f>
        <v>4570128</v>
      </c>
      <c r="S94" s="16"/>
      <c r="T94" s="16"/>
      <c r="U94" s="15"/>
      <c r="V94" s="19">
        <f t="shared" si="13"/>
        <v>9271376</v>
      </c>
      <c r="W94" s="20" t="s">
        <v>1173</v>
      </c>
      <c r="X94" s="37">
        <v>0</v>
      </c>
      <c r="Y94" s="37">
        <v>0</v>
      </c>
      <c r="Z94" s="79">
        <v>0</v>
      </c>
      <c r="AA94" s="19">
        <f t="shared" si="14"/>
        <v>9271376</v>
      </c>
    </row>
    <row r="95" spans="1:27" s="12" customFormat="1" ht="93.6" customHeight="1" x14ac:dyDescent="0.25">
      <c r="A95" s="17">
        <f>IF(OR(D95=0,D95=""),"",COUNTA($D$19:D95))</f>
        <v>66</v>
      </c>
      <c r="B95" s="17" t="s">
        <v>810</v>
      </c>
      <c r="C95" s="90" t="s">
        <v>373</v>
      </c>
      <c r="D95" s="43">
        <v>1973</v>
      </c>
      <c r="E95" s="16">
        <v>2431.5</v>
      </c>
      <c r="F95" s="16">
        <v>1844.6</v>
      </c>
      <c r="G95" s="16">
        <v>0</v>
      </c>
      <c r="H95" s="17" t="s">
        <v>257</v>
      </c>
      <c r="I95" s="15"/>
      <c r="J95" s="16"/>
      <c r="K95" s="16"/>
      <c r="L95" s="16"/>
      <c r="M95" s="16"/>
      <c r="N95" s="16"/>
      <c r="O95" s="16"/>
      <c r="P95" s="16">
        <f>1972*E95</f>
        <v>4794918</v>
      </c>
      <c r="Q95" s="16"/>
      <c r="R95" s="16">
        <f>E95*1917</f>
        <v>4661185.5</v>
      </c>
      <c r="S95" s="16"/>
      <c r="T95" s="16"/>
      <c r="U95" s="15"/>
      <c r="V95" s="19">
        <f t="shared" si="13"/>
        <v>9456103.5</v>
      </c>
      <c r="W95" s="20" t="s">
        <v>1173</v>
      </c>
      <c r="X95" s="37">
        <v>0</v>
      </c>
      <c r="Y95" s="37">
        <v>0</v>
      </c>
      <c r="Z95" s="79">
        <v>0</v>
      </c>
      <c r="AA95" s="19">
        <f t="shared" si="14"/>
        <v>9456103.5</v>
      </c>
    </row>
    <row r="96" spans="1:27" s="12" customFormat="1" ht="93.6" customHeight="1" x14ac:dyDescent="0.25">
      <c r="A96" s="17">
        <f>IF(OR(D96=0,D96=""),"",COUNTA($D$19:D96))</f>
        <v>67</v>
      </c>
      <c r="B96" s="17" t="s">
        <v>925</v>
      </c>
      <c r="C96" s="90" t="s">
        <v>374</v>
      </c>
      <c r="D96" s="43">
        <v>1968</v>
      </c>
      <c r="E96" s="16">
        <v>5134.3</v>
      </c>
      <c r="F96" s="16">
        <v>3165.8</v>
      </c>
      <c r="G96" s="16">
        <v>1968.5</v>
      </c>
      <c r="H96" s="17" t="s">
        <v>257</v>
      </c>
      <c r="I96" s="15"/>
      <c r="J96" s="16"/>
      <c r="K96" s="16"/>
      <c r="L96" s="16"/>
      <c r="M96" s="16"/>
      <c r="N96" s="16"/>
      <c r="O96" s="16"/>
      <c r="P96" s="16">
        <f>1972*E96</f>
        <v>10124839.6</v>
      </c>
      <c r="Q96" s="16"/>
      <c r="R96" s="16">
        <f>E96*1917</f>
        <v>9842453.0999999996</v>
      </c>
      <c r="S96" s="16"/>
      <c r="T96" s="16"/>
      <c r="U96" s="15"/>
      <c r="V96" s="19">
        <f t="shared" si="13"/>
        <v>19967292.699999999</v>
      </c>
      <c r="W96" s="20" t="s">
        <v>1173</v>
      </c>
      <c r="X96" s="37">
        <v>0</v>
      </c>
      <c r="Y96" s="37">
        <v>0</v>
      </c>
      <c r="Z96" s="79">
        <v>0</v>
      </c>
      <c r="AA96" s="19">
        <f t="shared" si="14"/>
        <v>19967292.699999999</v>
      </c>
    </row>
    <row r="97" spans="1:27" s="12" customFormat="1" ht="93.6" customHeight="1" x14ac:dyDescent="0.25">
      <c r="A97" s="17">
        <f>IF(OR(D97=0,D97=""),"",COUNTA($D$19:D97))</f>
        <v>68</v>
      </c>
      <c r="B97" s="17" t="s">
        <v>840</v>
      </c>
      <c r="C97" s="90" t="s">
        <v>375</v>
      </c>
      <c r="D97" s="43">
        <v>1969</v>
      </c>
      <c r="E97" s="16">
        <v>7763.05</v>
      </c>
      <c r="F97" s="16">
        <v>5746.15</v>
      </c>
      <c r="G97" s="16">
        <v>0</v>
      </c>
      <c r="H97" s="17" t="s">
        <v>257</v>
      </c>
      <c r="I97" s="15"/>
      <c r="J97" s="16"/>
      <c r="K97" s="16"/>
      <c r="L97" s="16"/>
      <c r="M97" s="16"/>
      <c r="N97" s="16"/>
      <c r="O97" s="16"/>
      <c r="P97" s="16"/>
      <c r="Q97" s="16"/>
      <c r="R97" s="16">
        <f>E97*1917</f>
        <v>14881766.85</v>
      </c>
      <c r="S97" s="16"/>
      <c r="T97" s="16"/>
      <c r="U97" s="15"/>
      <c r="V97" s="19">
        <f t="shared" si="13"/>
        <v>14881766.85</v>
      </c>
      <c r="W97" s="20" t="s">
        <v>1173</v>
      </c>
      <c r="X97" s="37">
        <v>0</v>
      </c>
      <c r="Y97" s="37">
        <v>0</v>
      </c>
      <c r="Z97" s="79">
        <v>0</v>
      </c>
      <c r="AA97" s="19">
        <f t="shared" si="14"/>
        <v>14881766.85</v>
      </c>
    </row>
    <row r="98" spans="1:27" s="12" customFormat="1" ht="93.6" customHeight="1" x14ac:dyDescent="0.25">
      <c r="A98" s="17">
        <f>IF(OR(D98=0,D98=""),"",COUNTA($D$19:D98))</f>
        <v>69</v>
      </c>
      <c r="B98" s="17" t="s">
        <v>710</v>
      </c>
      <c r="C98" s="90" t="s">
        <v>46</v>
      </c>
      <c r="D98" s="43">
        <v>1964</v>
      </c>
      <c r="E98" s="16">
        <v>2071.6</v>
      </c>
      <c r="F98" s="16">
        <v>1249.5</v>
      </c>
      <c r="G98" s="16">
        <v>0</v>
      </c>
      <c r="H98" s="17" t="s">
        <v>256</v>
      </c>
      <c r="I98" s="15"/>
      <c r="J98" s="16">
        <v>386625.68</v>
      </c>
      <c r="K98" s="16">
        <v>686593.88</v>
      </c>
      <c r="L98" s="16"/>
      <c r="M98" s="16">
        <v>414956.01</v>
      </c>
      <c r="N98" s="16">
        <v>194979.33</v>
      </c>
      <c r="O98" s="16"/>
      <c r="P98" s="16">
        <v>3286318.28</v>
      </c>
      <c r="Q98" s="16">
        <v>188313.37</v>
      </c>
      <c r="R98" s="16">
        <v>3194661.33</v>
      </c>
      <c r="S98" s="16">
        <v>149984.1</v>
      </c>
      <c r="T98" s="16"/>
      <c r="U98" s="15"/>
      <c r="V98" s="19">
        <f t="shared" si="13"/>
        <v>8502431.9800000004</v>
      </c>
      <c r="W98" s="20" t="s">
        <v>1173</v>
      </c>
      <c r="X98" s="37">
        <v>0</v>
      </c>
      <c r="Y98" s="37">
        <v>0</v>
      </c>
      <c r="Z98" s="79">
        <v>0</v>
      </c>
      <c r="AA98" s="19">
        <f t="shared" si="14"/>
        <v>8502431.9800000004</v>
      </c>
    </row>
    <row r="99" spans="1:27" s="12" customFormat="1" ht="93.6" customHeight="1" x14ac:dyDescent="0.25">
      <c r="A99" s="17">
        <f>IF(OR(D99=0,D99=""),"",COUNTA($D$19:D99))</f>
        <v>70</v>
      </c>
      <c r="B99" s="17" t="s">
        <v>754</v>
      </c>
      <c r="C99" s="90" t="s">
        <v>70</v>
      </c>
      <c r="D99" s="43">
        <v>1966</v>
      </c>
      <c r="E99" s="16">
        <v>3934.1</v>
      </c>
      <c r="F99" s="16">
        <v>2550.6999999999998</v>
      </c>
      <c r="G99" s="16">
        <v>150.5</v>
      </c>
      <c r="H99" s="17" t="s">
        <v>257</v>
      </c>
      <c r="I99" s="15"/>
      <c r="J99" s="16">
        <f>232*E99</f>
        <v>912711.2</v>
      </c>
      <c r="K99" s="16">
        <f>412*E99</f>
        <v>1620849.2</v>
      </c>
      <c r="L99" s="16"/>
      <c r="M99" s="16">
        <f>249*E99</f>
        <v>979590.9</v>
      </c>
      <c r="N99" s="16">
        <f>117*E99</f>
        <v>460289.7</v>
      </c>
      <c r="O99" s="16"/>
      <c r="P99" s="16">
        <f>1972*E99</f>
        <v>7758045.2000000002</v>
      </c>
      <c r="Q99" s="16">
        <f>E99*113</f>
        <v>444553.3</v>
      </c>
      <c r="R99" s="16">
        <f>E99*1917</f>
        <v>7541669.7000000002</v>
      </c>
      <c r="S99" s="16">
        <f>E99*90</f>
        <v>354069</v>
      </c>
      <c r="T99" s="16"/>
      <c r="U99" s="15"/>
      <c r="V99" s="19">
        <f t="shared" si="13"/>
        <v>20071778.199999999</v>
      </c>
      <c r="W99" s="20" t="s">
        <v>1173</v>
      </c>
      <c r="X99" s="37">
        <v>0</v>
      </c>
      <c r="Y99" s="37">
        <v>0</v>
      </c>
      <c r="Z99" s="79">
        <v>0</v>
      </c>
      <c r="AA99" s="19">
        <f t="shared" si="14"/>
        <v>20071778.199999999</v>
      </c>
    </row>
    <row r="100" spans="1:27" s="12" customFormat="1" ht="93.6" customHeight="1" x14ac:dyDescent="0.25">
      <c r="A100" s="17">
        <f>IF(OR(D100=0,D100=""),"",COUNTA($D$19:D100))</f>
        <v>71</v>
      </c>
      <c r="B100" s="17" t="s">
        <v>820</v>
      </c>
      <c r="C100" s="90" t="s">
        <v>107</v>
      </c>
      <c r="D100" s="43">
        <v>1966</v>
      </c>
      <c r="E100" s="16">
        <v>4135.3</v>
      </c>
      <c r="F100" s="16">
        <v>3005.7</v>
      </c>
      <c r="G100" s="16">
        <v>657.8</v>
      </c>
      <c r="H100" s="17" t="s">
        <v>257</v>
      </c>
      <c r="I100" s="15"/>
      <c r="J100" s="16"/>
      <c r="K100" s="16"/>
      <c r="L100" s="16"/>
      <c r="M100" s="16"/>
      <c r="N100" s="16"/>
      <c r="O100" s="16"/>
      <c r="P100" s="16">
        <f>1972*E100</f>
        <v>8154811.6000000006</v>
      </c>
      <c r="Q100" s="16"/>
      <c r="R100" s="16">
        <f>E100*1917</f>
        <v>7927370.1000000006</v>
      </c>
      <c r="S100" s="16"/>
      <c r="T100" s="16"/>
      <c r="U100" s="15"/>
      <c r="V100" s="19">
        <f t="shared" si="13"/>
        <v>16082181.700000001</v>
      </c>
      <c r="W100" s="20" t="s">
        <v>1173</v>
      </c>
      <c r="X100" s="37">
        <v>0</v>
      </c>
      <c r="Y100" s="37">
        <v>0</v>
      </c>
      <c r="Z100" s="79">
        <v>0</v>
      </c>
      <c r="AA100" s="19">
        <f t="shared" si="14"/>
        <v>16082181.700000001</v>
      </c>
    </row>
    <row r="101" spans="1:27" s="12" customFormat="1" ht="93.6" customHeight="1" x14ac:dyDescent="0.25">
      <c r="A101" s="17">
        <f>IF(OR(D101=0,D101=""),"",COUNTA($D$19:D101))</f>
        <v>72</v>
      </c>
      <c r="B101" s="17" t="s">
        <v>832</v>
      </c>
      <c r="C101" s="90" t="s">
        <v>115</v>
      </c>
      <c r="D101" s="15">
        <v>1964</v>
      </c>
      <c r="E101" s="16">
        <v>3850.9</v>
      </c>
      <c r="F101" s="16">
        <v>2558.1</v>
      </c>
      <c r="G101" s="16">
        <v>0</v>
      </c>
      <c r="H101" s="17" t="s">
        <v>256</v>
      </c>
      <c r="I101" s="15"/>
      <c r="J101" s="16"/>
      <c r="K101" s="16"/>
      <c r="L101" s="16"/>
      <c r="M101" s="16"/>
      <c r="N101" s="16"/>
      <c r="O101" s="16"/>
      <c r="P101" s="16">
        <v>7593974.7999999998</v>
      </c>
      <c r="Q101" s="16"/>
      <c r="R101" s="16">
        <v>7382175.2999999998</v>
      </c>
      <c r="S101" s="16"/>
      <c r="T101" s="16"/>
      <c r="U101" s="15"/>
      <c r="V101" s="19">
        <f t="shared" si="13"/>
        <v>14976150.1</v>
      </c>
      <c r="W101" s="20" t="s">
        <v>1173</v>
      </c>
      <c r="X101" s="37">
        <v>0</v>
      </c>
      <c r="Y101" s="37">
        <v>0</v>
      </c>
      <c r="Z101" s="79">
        <v>0</v>
      </c>
      <c r="AA101" s="19">
        <f t="shared" si="14"/>
        <v>14976150.1</v>
      </c>
    </row>
    <row r="102" spans="1:27" s="12" customFormat="1" ht="93.6" customHeight="1" x14ac:dyDescent="0.25">
      <c r="A102" s="17">
        <f>IF(OR(D102=0,D102=""),"",COUNTA($D$19:D102))</f>
        <v>73</v>
      </c>
      <c r="B102" s="17" t="s">
        <v>1002</v>
      </c>
      <c r="C102" s="90" t="s">
        <v>195</v>
      </c>
      <c r="D102" s="43">
        <v>1966</v>
      </c>
      <c r="E102" s="16">
        <v>4715.5</v>
      </c>
      <c r="F102" s="16">
        <v>3534</v>
      </c>
      <c r="G102" s="16">
        <v>0</v>
      </c>
      <c r="H102" s="17" t="s">
        <v>257</v>
      </c>
      <c r="I102" s="15"/>
      <c r="J102" s="16">
        <f>232*E102</f>
        <v>1093996</v>
      </c>
      <c r="K102" s="16">
        <f>412*E102</f>
        <v>1942786</v>
      </c>
      <c r="L102" s="16"/>
      <c r="M102" s="16">
        <f>249*E102</f>
        <v>1174159.5</v>
      </c>
      <c r="N102" s="16">
        <f>117*E102</f>
        <v>551713.5</v>
      </c>
      <c r="O102" s="16"/>
      <c r="P102" s="27"/>
      <c r="Q102" s="16">
        <f>E102*113</f>
        <v>532851.5</v>
      </c>
      <c r="R102" s="16"/>
      <c r="S102" s="16">
        <f>E102*90</f>
        <v>424395</v>
      </c>
      <c r="T102" s="16"/>
      <c r="U102" s="15"/>
      <c r="V102" s="19">
        <f t="shared" si="13"/>
        <v>5719901.5</v>
      </c>
      <c r="W102" s="20" t="s">
        <v>1173</v>
      </c>
      <c r="X102" s="37">
        <v>0</v>
      </c>
      <c r="Y102" s="37">
        <v>0</v>
      </c>
      <c r="Z102" s="79">
        <v>0</v>
      </c>
      <c r="AA102" s="19">
        <f t="shared" si="14"/>
        <v>5719901.5</v>
      </c>
    </row>
    <row r="103" spans="1:27" s="12" customFormat="1" ht="93.6" customHeight="1" x14ac:dyDescent="0.25">
      <c r="A103" s="17">
        <f>IF(OR(D103=0,D103=""),"",COUNTA($D$19:D103))</f>
        <v>74</v>
      </c>
      <c r="B103" s="17" t="s">
        <v>838</v>
      </c>
      <c r="C103" s="90" t="s">
        <v>120</v>
      </c>
      <c r="D103" s="43">
        <v>1968</v>
      </c>
      <c r="E103" s="16">
        <v>5736.7</v>
      </c>
      <c r="F103" s="16">
        <v>4410.1000000000004</v>
      </c>
      <c r="G103" s="16">
        <v>0</v>
      </c>
      <c r="H103" s="17" t="s">
        <v>257</v>
      </c>
      <c r="I103" s="15"/>
      <c r="J103" s="16"/>
      <c r="K103" s="16"/>
      <c r="L103" s="16"/>
      <c r="M103" s="16"/>
      <c r="N103" s="16"/>
      <c r="O103" s="16"/>
      <c r="P103" s="16">
        <f>1972*E103</f>
        <v>11312772.4</v>
      </c>
      <c r="Q103" s="16"/>
      <c r="R103" s="16">
        <f t="shared" ref="R103:R115" si="17">E103*1917</f>
        <v>10997253.9</v>
      </c>
      <c r="S103" s="16"/>
      <c r="T103" s="16"/>
      <c r="U103" s="16"/>
      <c r="V103" s="19">
        <f t="shared" si="13"/>
        <v>22310026.300000001</v>
      </c>
      <c r="W103" s="20" t="s">
        <v>1173</v>
      </c>
      <c r="X103" s="37">
        <v>0</v>
      </c>
      <c r="Y103" s="37">
        <v>0</v>
      </c>
      <c r="Z103" s="79">
        <v>0</v>
      </c>
      <c r="AA103" s="19">
        <f t="shared" si="14"/>
        <v>22310026.300000001</v>
      </c>
    </row>
    <row r="104" spans="1:27" s="12" customFormat="1" ht="93.6" customHeight="1" x14ac:dyDescent="0.25">
      <c r="A104" s="17">
        <f>IF(OR(D104=0,D104=""),"",COUNTA($D$19:D104))</f>
        <v>75</v>
      </c>
      <c r="B104" s="17" t="s">
        <v>845</v>
      </c>
      <c r="C104" s="90" t="s">
        <v>126</v>
      </c>
      <c r="D104" s="43">
        <v>1971</v>
      </c>
      <c r="E104" s="16">
        <v>5724.6</v>
      </c>
      <c r="F104" s="16">
        <v>4366.8</v>
      </c>
      <c r="G104" s="16">
        <v>0</v>
      </c>
      <c r="H104" s="17" t="s">
        <v>257</v>
      </c>
      <c r="I104" s="15"/>
      <c r="J104" s="16"/>
      <c r="K104" s="16"/>
      <c r="L104" s="16"/>
      <c r="M104" s="16"/>
      <c r="N104" s="16"/>
      <c r="O104" s="16"/>
      <c r="P104" s="16">
        <f>1972*E104</f>
        <v>11288911.200000001</v>
      </c>
      <c r="Q104" s="16"/>
      <c r="R104" s="16">
        <f t="shared" si="17"/>
        <v>10974058.200000001</v>
      </c>
      <c r="S104" s="16"/>
      <c r="T104" s="16"/>
      <c r="U104" s="15"/>
      <c r="V104" s="19">
        <f t="shared" si="13"/>
        <v>22262969.400000002</v>
      </c>
      <c r="W104" s="20" t="s">
        <v>1173</v>
      </c>
      <c r="X104" s="37">
        <v>0</v>
      </c>
      <c r="Y104" s="37">
        <v>0</v>
      </c>
      <c r="Z104" s="79">
        <v>0</v>
      </c>
      <c r="AA104" s="19">
        <f t="shared" si="14"/>
        <v>22262969.400000002</v>
      </c>
    </row>
    <row r="105" spans="1:27" s="12" customFormat="1" ht="93.6" customHeight="1" x14ac:dyDescent="0.25">
      <c r="A105" s="17">
        <f>IF(OR(D105=0,D105=""),"",COUNTA($D$19:D105))</f>
        <v>76</v>
      </c>
      <c r="B105" s="17" t="s">
        <v>775</v>
      </c>
      <c r="C105" s="90" t="s">
        <v>82</v>
      </c>
      <c r="D105" s="43">
        <v>1972</v>
      </c>
      <c r="E105" s="16">
        <v>7858.8</v>
      </c>
      <c r="F105" s="16">
        <v>5747.8</v>
      </c>
      <c r="G105" s="16">
        <v>61.1</v>
      </c>
      <c r="H105" s="17" t="s">
        <v>257</v>
      </c>
      <c r="I105" s="15"/>
      <c r="J105" s="16"/>
      <c r="K105" s="16"/>
      <c r="L105" s="16"/>
      <c r="M105" s="16"/>
      <c r="N105" s="16"/>
      <c r="O105" s="16"/>
      <c r="P105" s="16"/>
      <c r="Q105" s="16"/>
      <c r="R105" s="16">
        <f t="shared" si="17"/>
        <v>15065319.6</v>
      </c>
      <c r="S105" s="16"/>
      <c r="T105" s="16"/>
      <c r="U105" s="15"/>
      <c r="V105" s="19">
        <f t="shared" si="13"/>
        <v>15065319.6</v>
      </c>
      <c r="W105" s="20" t="s">
        <v>1173</v>
      </c>
      <c r="X105" s="37">
        <v>0</v>
      </c>
      <c r="Y105" s="37">
        <v>0</v>
      </c>
      <c r="Z105" s="79">
        <v>0</v>
      </c>
      <c r="AA105" s="19">
        <f t="shared" si="14"/>
        <v>15065319.6</v>
      </c>
    </row>
    <row r="106" spans="1:27" s="12" customFormat="1" ht="93.6" customHeight="1" x14ac:dyDescent="0.25">
      <c r="A106" s="17">
        <f>IF(OR(D106=0,D106=""),"",COUNTA($D$19:D106))</f>
        <v>77</v>
      </c>
      <c r="B106" s="17" t="s">
        <v>776</v>
      </c>
      <c r="C106" s="90" t="s">
        <v>83</v>
      </c>
      <c r="D106" s="43">
        <v>1972</v>
      </c>
      <c r="E106" s="16">
        <v>5939.7</v>
      </c>
      <c r="F106" s="16">
        <v>4394.5</v>
      </c>
      <c r="G106" s="16">
        <v>0</v>
      </c>
      <c r="H106" s="17" t="s">
        <v>257</v>
      </c>
      <c r="I106" s="15"/>
      <c r="J106" s="16"/>
      <c r="K106" s="16"/>
      <c r="L106" s="16"/>
      <c r="M106" s="16"/>
      <c r="N106" s="16"/>
      <c r="O106" s="16"/>
      <c r="P106" s="16"/>
      <c r="Q106" s="16"/>
      <c r="R106" s="16">
        <f t="shared" si="17"/>
        <v>11386404.9</v>
      </c>
      <c r="S106" s="16"/>
      <c r="T106" s="16"/>
      <c r="U106" s="15"/>
      <c r="V106" s="19">
        <f t="shared" si="13"/>
        <v>11386404.9</v>
      </c>
      <c r="W106" s="20" t="s">
        <v>1173</v>
      </c>
      <c r="X106" s="37">
        <v>0</v>
      </c>
      <c r="Y106" s="37">
        <v>0</v>
      </c>
      <c r="Z106" s="79">
        <v>0</v>
      </c>
      <c r="AA106" s="19">
        <f t="shared" si="14"/>
        <v>11386404.9</v>
      </c>
    </row>
    <row r="107" spans="1:27" s="12" customFormat="1" ht="93.6" customHeight="1" x14ac:dyDescent="0.25">
      <c r="A107" s="17">
        <f>IF(OR(D107=0,D107=""),"",COUNTA($D$19:D107))</f>
        <v>78</v>
      </c>
      <c r="B107" s="17" t="s">
        <v>777</v>
      </c>
      <c r="C107" s="90" t="s">
        <v>84</v>
      </c>
      <c r="D107" s="43">
        <v>1972</v>
      </c>
      <c r="E107" s="16">
        <v>5919.9</v>
      </c>
      <c r="F107" s="16">
        <v>4393.2</v>
      </c>
      <c r="G107" s="16">
        <v>0</v>
      </c>
      <c r="H107" s="17" t="s">
        <v>257</v>
      </c>
      <c r="I107" s="15"/>
      <c r="J107" s="16"/>
      <c r="K107" s="16"/>
      <c r="L107" s="16"/>
      <c r="M107" s="16"/>
      <c r="N107" s="16"/>
      <c r="O107" s="16"/>
      <c r="P107" s="16">
        <f>1972*E107</f>
        <v>11674042.799999999</v>
      </c>
      <c r="Q107" s="16"/>
      <c r="R107" s="16">
        <f t="shared" si="17"/>
        <v>11348448.299999999</v>
      </c>
      <c r="S107" s="16"/>
      <c r="T107" s="16"/>
      <c r="U107" s="15"/>
      <c r="V107" s="19">
        <f t="shared" si="13"/>
        <v>23022491.099999998</v>
      </c>
      <c r="W107" s="20" t="s">
        <v>1173</v>
      </c>
      <c r="X107" s="37">
        <v>0</v>
      </c>
      <c r="Y107" s="37">
        <v>0</v>
      </c>
      <c r="Z107" s="79">
        <v>0</v>
      </c>
      <c r="AA107" s="19">
        <f t="shared" si="14"/>
        <v>23022491.099999998</v>
      </c>
    </row>
    <row r="108" spans="1:27" s="12" customFormat="1" ht="93.6" customHeight="1" x14ac:dyDescent="0.25">
      <c r="A108" s="17">
        <f>IF(OR(D108=0,D108=""),"",COUNTA($D$19:D108))</f>
        <v>79</v>
      </c>
      <c r="B108" s="17" t="s">
        <v>778</v>
      </c>
      <c r="C108" s="90" t="s">
        <v>85</v>
      </c>
      <c r="D108" s="43">
        <v>1972</v>
      </c>
      <c r="E108" s="16">
        <v>5982.94</v>
      </c>
      <c r="F108" s="16">
        <v>4417.9399999999996</v>
      </c>
      <c r="G108" s="16">
        <v>0</v>
      </c>
      <c r="H108" s="17" t="s">
        <v>257</v>
      </c>
      <c r="I108" s="15"/>
      <c r="J108" s="16"/>
      <c r="K108" s="16"/>
      <c r="L108" s="16"/>
      <c r="M108" s="16"/>
      <c r="N108" s="16"/>
      <c r="O108" s="16"/>
      <c r="P108" s="16">
        <f>1972*E108</f>
        <v>11798357.68</v>
      </c>
      <c r="Q108" s="16"/>
      <c r="R108" s="16">
        <f t="shared" si="17"/>
        <v>11469295.979999999</v>
      </c>
      <c r="S108" s="16"/>
      <c r="T108" s="16"/>
      <c r="U108" s="15"/>
      <c r="V108" s="19">
        <f t="shared" si="13"/>
        <v>23267653.659999996</v>
      </c>
      <c r="W108" s="20" t="s">
        <v>1173</v>
      </c>
      <c r="X108" s="37">
        <v>0</v>
      </c>
      <c r="Y108" s="37">
        <v>0</v>
      </c>
      <c r="Z108" s="79">
        <v>0</v>
      </c>
      <c r="AA108" s="19">
        <f t="shared" si="14"/>
        <v>23267653.659999996</v>
      </c>
    </row>
    <row r="109" spans="1:27" s="12" customFormat="1" ht="93.6" customHeight="1" x14ac:dyDescent="0.25">
      <c r="A109" s="17">
        <f>IF(OR(D109=0,D109=""),"",COUNTA($D$19:D109))</f>
        <v>80</v>
      </c>
      <c r="B109" s="17" t="s">
        <v>779</v>
      </c>
      <c r="C109" s="90" t="s">
        <v>86</v>
      </c>
      <c r="D109" s="43">
        <v>1972</v>
      </c>
      <c r="E109" s="16">
        <v>3753.5</v>
      </c>
      <c r="F109" s="16">
        <v>2729</v>
      </c>
      <c r="G109" s="16">
        <v>0</v>
      </c>
      <c r="H109" s="17" t="s">
        <v>257</v>
      </c>
      <c r="I109" s="15"/>
      <c r="J109" s="16"/>
      <c r="K109" s="16"/>
      <c r="L109" s="16"/>
      <c r="M109" s="16"/>
      <c r="N109" s="16"/>
      <c r="O109" s="16"/>
      <c r="P109" s="16"/>
      <c r="Q109" s="16"/>
      <c r="R109" s="16">
        <f t="shared" si="17"/>
        <v>7195459.5</v>
      </c>
      <c r="S109" s="16"/>
      <c r="T109" s="16"/>
      <c r="U109" s="15"/>
      <c r="V109" s="19">
        <f t="shared" si="13"/>
        <v>7195459.5</v>
      </c>
      <c r="W109" s="20" t="s">
        <v>1173</v>
      </c>
      <c r="X109" s="37">
        <v>0</v>
      </c>
      <c r="Y109" s="37">
        <v>0</v>
      </c>
      <c r="Z109" s="79">
        <v>0</v>
      </c>
      <c r="AA109" s="19">
        <f t="shared" si="14"/>
        <v>7195459.5</v>
      </c>
    </row>
    <row r="110" spans="1:27" s="12" customFormat="1" ht="93.6" customHeight="1" x14ac:dyDescent="0.25">
      <c r="A110" s="17">
        <f>IF(OR(D110=0,D110=""),"",COUNTA($D$19:D110))</f>
        <v>81</v>
      </c>
      <c r="B110" s="17" t="s">
        <v>1033</v>
      </c>
      <c r="C110" s="90" t="s">
        <v>212</v>
      </c>
      <c r="D110" s="43">
        <v>1972</v>
      </c>
      <c r="E110" s="16">
        <v>7769</v>
      </c>
      <c r="F110" s="16">
        <v>5672.4</v>
      </c>
      <c r="G110" s="16">
        <v>60</v>
      </c>
      <c r="H110" s="17" t="s">
        <v>257</v>
      </c>
      <c r="I110" s="15"/>
      <c r="J110" s="16"/>
      <c r="K110" s="16"/>
      <c r="L110" s="16"/>
      <c r="M110" s="16"/>
      <c r="N110" s="16"/>
      <c r="O110" s="16"/>
      <c r="P110" s="16">
        <f t="shared" ref="P110:P115" si="18">1972*E110</f>
        <v>15320468</v>
      </c>
      <c r="Q110" s="16"/>
      <c r="R110" s="16">
        <f t="shared" si="17"/>
        <v>14893173</v>
      </c>
      <c r="S110" s="16"/>
      <c r="T110" s="16"/>
      <c r="U110" s="15"/>
      <c r="V110" s="19">
        <f t="shared" si="13"/>
        <v>30213641</v>
      </c>
      <c r="W110" s="20" t="s">
        <v>1173</v>
      </c>
      <c r="X110" s="37">
        <v>0</v>
      </c>
      <c r="Y110" s="37">
        <v>0</v>
      </c>
      <c r="Z110" s="79">
        <v>0</v>
      </c>
      <c r="AA110" s="19">
        <f t="shared" si="14"/>
        <v>30213641</v>
      </c>
    </row>
    <row r="111" spans="1:27" s="12" customFormat="1" ht="93.6" customHeight="1" x14ac:dyDescent="0.25">
      <c r="A111" s="17">
        <f>IF(OR(D111=0,D111=""),"",COUNTA($D$19:D111))</f>
        <v>82</v>
      </c>
      <c r="B111" s="17" t="s">
        <v>809</v>
      </c>
      <c r="C111" s="90" t="s">
        <v>103</v>
      </c>
      <c r="D111" s="43">
        <v>1973</v>
      </c>
      <c r="E111" s="16">
        <v>2440.1999999999998</v>
      </c>
      <c r="F111" s="16">
        <v>1853</v>
      </c>
      <c r="G111" s="16">
        <v>0</v>
      </c>
      <c r="H111" s="17" t="s">
        <v>257</v>
      </c>
      <c r="I111" s="15"/>
      <c r="J111" s="16"/>
      <c r="K111" s="16"/>
      <c r="L111" s="16"/>
      <c r="M111" s="16"/>
      <c r="N111" s="16"/>
      <c r="O111" s="16"/>
      <c r="P111" s="16">
        <f t="shared" si="18"/>
        <v>4812074.3999999994</v>
      </c>
      <c r="Q111" s="16"/>
      <c r="R111" s="16">
        <f t="shared" si="17"/>
        <v>4677863.3999999994</v>
      </c>
      <c r="S111" s="16"/>
      <c r="T111" s="16"/>
      <c r="U111" s="15"/>
      <c r="V111" s="19">
        <f t="shared" si="13"/>
        <v>9489937.7999999989</v>
      </c>
      <c r="W111" s="20" t="s">
        <v>1173</v>
      </c>
      <c r="X111" s="37">
        <v>0</v>
      </c>
      <c r="Y111" s="37">
        <v>0</v>
      </c>
      <c r="Z111" s="79">
        <v>0</v>
      </c>
      <c r="AA111" s="19">
        <f t="shared" si="14"/>
        <v>9489937.7999999989</v>
      </c>
    </row>
    <row r="112" spans="1:27" s="12" customFormat="1" ht="93.6" customHeight="1" x14ac:dyDescent="0.25">
      <c r="A112" s="17">
        <f>IF(OR(D112=0,D112=""),"",COUNTA($D$19:D112))</f>
        <v>83</v>
      </c>
      <c r="B112" s="17" t="s">
        <v>813</v>
      </c>
      <c r="C112" s="90" t="s">
        <v>105</v>
      </c>
      <c r="D112" s="43">
        <v>1973</v>
      </c>
      <c r="E112" s="16">
        <v>2633.1</v>
      </c>
      <c r="F112" s="16">
        <v>1840.1</v>
      </c>
      <c r="G112" s="16">
        <v>0</v>
      </c>
      <c r="H112" s="17" t="s">
        <v>257</v>
      </c>
      <c r="I112" s="15"/>
      <c r="J112" s="16"/>
      <c r="K112" s="16"/>
      <c r="L112" s="16"/>
      <c r="M112" s="16"/>
      <c r="N112" s="16"/>
      <c r="O112" s="16"/>
      <c r="P112" s="16">
        <f t="shared" si="18"/>
        <v>5192473.2</v>
      </c>
      <c r="Q112" s="16"/>
      <c r="R112" s="16">
        <f t="shared" si="17"/>
        <v>5047652.7</v>
      </c>
      <c r="S112" s="16"/>
      <c r="T112" s="16"/>
      <c r="U112" s="15"/>
      <c r="V112" s="19">
        <f t="shared" si="13"/>
        <v>10240125.9</v>
      </c>
      <c r="W112" s="20" t="s">
        <v>1173</v>
      </c>
      <c r="X112" s="37">
        <v>0</v>
      </c>
      <c r="Y112" s="37">
        <v>0</v>
      </c>
      <c r="Z112" s="79">
        <v>0</v>
      </c>
      <c r="AA112" s="19">
        <f t="shared" si="14"/>
        <v>10240125.9</v>
      </c>
    </row>
    <row r="113" spans="1:27" s="12" customFormat="1" ht="93.6" customHeight="1" x14ac:dyDescent="0.25">
      <c r="A113" s="17">
        <f>IF(OR(D113=0,D113=""),"",COUNTA($D$19:D113))</f>
        <v>84</v>
      </c>
      <c r="B113" s="17" t="s">
        <v>977</v>
      </c>
      <c r="C113" s="90" t="s">
        <v>184</v>
      </c>
      <c r="D113" s="43">
        <v>1973</v>
      </c>
      <c r="E113" s="16">
        <v>4331.6000000000004</v>
      </c>
      <c r="F113" s="16">
        <v>3375.7</v>
      </c>
      <c r="G113" s="16">
        <v>955.9</v>
      </c>
      <c r="H113" s="17" t="s">
        <v>257</v>
      </c>
      <c r="I113" s="15"/>
      <c r="J113" s="16">
        <f>232*E113</f>
        <v>1004931.2000000001</v>
      </c>
      <c r="K113" s="16"/>
      <c r="L113" s="16"/>
      <c r="M113" s="16"/>
      <c r="N113" s="16"/>
      <c r="O113" s="16"/>
      <c r="P113" s="16">
        <f t="shared" si="18"/>
        <v>8541915.2000000011</v>
      </c>
      <c r="Q113" s="16"/>
      <c r="R113" s="16">
        <f t="shared" si="17"/>
        <v>8303677.2000000011</v>
      </c>
      <c r="S113" s="16"/>
      <c r="T113" s="16"/>
      <c r="U113" s="15"/>
      <c r="V113" s="19">
        <f t="shared" si="13"/>
        <v>17850523.600000001</v>
      </c>
      <c r="W113" s="20" t="s">
        <v>1173</v>
      </c>
      <c r="X113" s="37">
        <v>0</v>
      </c>
      <c r="Y113" s="37">
        <v>0</v>
      </c>
      <c r="Z113" s="79">
        <v>0</v>
      </c>
      <c r="AA113" s="19">
        <f t="shared" si="14"/>
        <v>17850523.600000001</v>
      </c>
    </row>
    <row r="114" spans="1:27" s="12" customFormat="1" ht="93.6" customHeight="1" x14ac:dyDescent="0.25">
      <c r="A114" s="17">
        <f>IF(OR(D114=0,D114=""),"",COUNTA($D$19:D114))</f>
        <v>85</v>
      </c>
      <c r="B114" s="17" t="s">
        <v>984</v>
      </c>
      <c r="C114" s="90" t="s">
        <v>189</v>
      </c>
      <c r="D114" s="43">
        <v>1973</v>
      </c>
      <c r="E114" s="16">
        <v>8102.6</v>
      </c>
      <c r="F114" s="16">
        <v>5717.1</v>
      </c>
      <c r="G114" s="16">
        <v>0</v>
      </c>
      <c r="H114" s="17" t="s">
        <v>257</v>
      </c>
      <c r="I114" s="15"/>
      <c r="J114" s="16"/>
      <c r="K114" s="16"/>
      <c r="L114" s="16"/>
      <c r="M114" s="16"/>
      <c r="N114" s="16"/>
      <c r="O114" s="16"/>
      <c r="P114" s="16">
        <f t="shared" si="18"/>
        <v>15978327.200000001</v>
      </c>
      <c r="Q114" s="16"/>
      <c r="R114" s="16">
        <f t="shared" si="17"/>
        <v>15532684.200000001</v>
      </c>
      <c r="S114" s="16"/>
      <c r="T114" s="16"/>
      <c r="U114" s="15"/>
      <c r="V114" s="19">
        <f t="shared" ref="V114:V173" si="19">J114+K114+L114+M114+N114+O114+P114+Q114+R114+S114+T114+U114</f>
        <v>31511011.400000002</v>
      </c>
      <c r="W114" s="20" t="s">
        <v>1173</v>
      </c>
      <c r="X114" s="37">
        <v>0</v>
      </c>
      <c r="Y114" s="37">
        <v>0</v>
      </c>
      <c r="Z114" s="79">
        <v>0</v>
      </c>
      <c r="AA114" s="19">
        <f t="shared" si="14"/>
        <v>31511011.400000002</v>
      </c>
    </row>
    <row r="115" spans="1:27" s="12" customFormat="1" ht="93.6" customHeight="1" x14ac:dyDescent="0.25">
      <c r="A115" s="17">
        <f>IF(OR(D115=0,D115=""),"",COUNTA($D$19:D115))</f>
        <v>86</v>
      </c>
      <c r="B115" s="17" t="s">
        <v>802</v>
      </c>
      <c r="C115" s="90" t="s">
        <v>96</v>
      </c>
      <c r="D115" s="43">
        <v>1973</v>
      </c>
      <c r="E115" s="16">
        <v>2268.6999999999998</v>
      </c>
      <c r="F115" s="16">
        <v>1680.8</v>
      </c>
      <c r="G115" s="16">
        <v>0</v>
      </c>
      <c r="H115" s="17" t="s">
        <v>257</v>
      </c>
      <c r="I115" s="15"/>
      <c r="J115" s="16"/>
      <c r="K115" s="16"/>
      <c r="L115" s="16"/>
      <c r="M115" s="16"/>
      <c r="N115" s="16"/>
      <c r="O115" s="16"/>
      <c r="P115" s="16">
        <f t="shared" si="18"/>
        <v>4473876.3999999994</v>
      </c>
      <c r="Q115" s="16"/>
      <c r="R115" s="16">
        <f t="shared" si="17"/>
        <v>4349097.8999999994</v>
      </c>
      <c r="S115" s="16"/>
      <c r="T115" s="16"/>
      <c r="U115" s="15"/>
      <c r="V115" s="19">
        <f t="shared" si="19"/>
        <v>8822974.2999999989</v>
      </c>
      <c r="W115" s="20" t="s">
        <v>1173</v>
      </c>
      <c r="X115" s="37">
        <v>0</v>
      </c>
      <c r="Y115" s="37">
        <v>0</v>
      </c>
      <c r="Z115" s="79">
        <v>0</v>
      </c>
      <c r="AA115" s="19">
        <f t="shared" si="14"/>
        <v>8822974.2999999989</v>
      </c>
    </row>
    <row r="116" spans="1:27" s="12" customFormat="1" ht="93.6" customHeight="1" x14ac:dyDescent="0.25">
      <c r="A116" s="17">
        <f>IF(OR(D116=0,D116=""),"",COUNTA($D$19:D116))</f>
        <v>87</v>
      </c>
      <c r="B116" s="17" t="s">
        <v>784</v>
      </c>
      <c r="C116" s="90" t="s">
        <v>343</v>
      </c>
      <c r="D116" s="43">
        <v>1956</v>
      </c>
      <c r="E116" s="16">
        <v>5535.6</v>
      </c>
      <c r="F116" s="16">
        <v>3674.3</v>
      </c>
      <c r="G116" s="16">
        <v>600.6</v>
      </c>
      <c r="H116" s="26" t="s">
        <v>344</v>
      </c>
      <c r="I116" s="15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>
        <f>359*E116</f>
        <v>1987280.4000000001</v>
      </c>
      <c r="U116" s="15"/>
      <c r="V116" s="19">
        <f t="shared" ref="V116" si="20">J116+K116+L116+M116+N116+O116+P116+Q116+R116+S116+T116+U116</f>
        <v>1987280.4000000001</v>
      </c>
      <c r="W116" s="20" t="s">
        <v>1173</v>
      </c>
      <c r="X116" s="37">
        <v>0</v>
      </c>
      <c r="Y116" s="37">
        <v>0</v>
      </c>
      <c r="Z116" s="79">
        <v>0</v>
      </c>
      <c r="AA116" s="19">
        <f t="shared" ref="AA116" si="21">V116-(X116+Y116+Z116)</f>
        <v>1987280.4000000001</v>
      </c>
    </row>
    <row r="117" spans="1:27" s="12" customFormat="1" ht="93.6" customHeight="1" x14ac:dyDescent="0.25">
      <c r="A117" s="17">
        <f>IF(OR(D117=0,D117=""),"",COUNTA($D$19:D117))</f>
        <v>88</v>
      </c>
      <c r="B117" s="17" t="s">
        <v>806</v>
      </c>
      <c r="C117" s="90" t="s">
        <v>100</v>
      </c>
      <c r="D117" s="15">
        <v>1969</v>
      </c>
      <c r="E117" s="16">
        <v>2454.5</v>
      </c>
      <c r="F117" s="16">
        <v>1840.2</v>
      </c>
      <c r="G117" s="16">
        <v>0</v>
      </c>
      <c r="H117" s="17" t="s">
        <v>257</v>
      </c>
      <c r="I117" s="15"/>
      <c r="J117" s="16"/>
      <c r="K117" s="16"/>
      <c r="L117" s="16"/>
      <c r="M117" s="16"/>
      <c r="N117" s="16"/>
      <c r="O117" s="16"/>
      <c r="P117" s="16">
        <f>1972*E117</f>
        <v>4840274</v>
      </c>
      <c r="Q117" s="16"/>
      <c r="R117" s="16">
        <f>E117*1917</f>
        <v>4705276.5</v>
      </c>
      <c r="S117" s="16"/>
      <c r="T117" s="16"/>
      <c r="U117" s="15"/>
      <c r="V117" s="19">
        <f t="shared" si="19"/>
        <v>9545550.5</v>
      </c>
      <c r="W117" s="20" t="s">
        <v>1173</v>
      </c>
      <c r="X117" s="37">
        <v>0</v>
      </c>
      <c r="Y117" s="37">
        <v>0</v>
      </c>
      <c r="Z117" s="79">
        <v>0</v>
      </c>
      <c r="AA117" s="19">
        <f t="shared" si="14"/>
        <v>9545550.5</v>
      </c>
    </row>
    <row r="118" spans="1:27" s="12" customFormat="1" ht="93.6" customHeight="1" x14ac:dyDescent="0.25">
      <c r="A118" s="17">
        <f>IF(OR(D118=0,D118=""),"",COUNTA($D$19:D118))</f>
        <v>89</v>
      </c>
      <c r="B118" s="17" t="s">
        <v>771</v>
      </c>
      <c r="C118" s="90" t="s">
        <v>80</v>
      </c>
      <c r="D118" s="43">
        <v>1970</v>
      </c>
      <c r="E118" s="16">
        <v>7881</v>
      </c>
      <c r="F118" s="16">
        <v>5777.4</v>
      </c>
      <c r="G118" s="16">
        <v>0</v>
      </c>
      <c r="H118" s="17" t="s">
        <v>257</v>
      </c>
      <c r="I118" s="15"/>
      <c r="J118" s="16"/>
      <c r="K118" s="16"/>
      <c r="L118" s="16"/>
      <c r="M118" s="16"/>
      <c r="N118" s="16"/>
      <c r="O118" s="16"/>
      <c r="P118" s="16"/>
      <c r="Q118" s="16"/>
      <c r="R118" s="16">
        <f>E118*1917</f>
        <v>15107877</v>
      </c>
      <c r="S118" s="16"/>
      <c r="T118" s="16"/>
      <c r="U118" s="16"/>
      <c r="V118" s="19">
        <f t="shared" si="19"/>
        <v>15107877</v>
      </c>
      <c r="W118" s="20" t="s">
        <v>1173</v>
      </c>
      <c r="X118" s="37">
        <v>0</v>
      </c>
      <c r="Y118" s="37">
        <v>0</v>
      </c>
      <c r="Z118" s="79">
        <v>0</v>
      </c>
      <c r="AA118" s="19">
        <f t="shared" si="14"/>
        <v>15107877</v>
      </c>
    </row>
    <row r="119" spans="1:27" s="12" customFormat="1" ht="93.6" customHeight="1" x14ac:dyDescent="0.25">
      <c r="A119" s="17">
        <f>IF(OR(D119=0,D119=""),"",COUNTA($D$19:D119))</f>
        <v>90</v>
      </c>
      <c r="B119" s="17" t="s">
        <v>800</v>
      </c>
      <c r="C119" s="90" t="s">
        <v>95</v>
      </c>
      <c r="D119" s="43">
        <v>1971</v>
      </c>
      <c r="E119" s="16">
        <v>5964.2</v>
      </c>
      <c r="F119" s="16">
        <v>4394.8999999999996</v>
      </c>
      <c r="G119" s="16">
        <v>0</v>
      </c>
      <c r="H119" s="17" t="s">
        <v>257</v>
      </c>
      <c r="I119" s="15"/>
      <c r="J119" s="16"/>
      <c r="K119" s="16"/>
      <c r="L119" s="16"/>
      <c r="M119" s="16"/>
      <c r="N119" s="16"/>
      <c r="O119" s="16"/>
      <c r="P119" s="16"/>
      <c r="Q119" s="16"/>
      <c r="R119" s="16">
        <f>E119*1917</f>
        <v>11433371.4</v>
      </c>
      <c r="S119" s="16"/>
      <c r="T119" s="16"/>
      <c r="U119" s="16"/>
      <c r="V119" s="19">
        <f t="shared" si="19"/>
        <v>11433371.4</v>
      </c>
      <c r="W119" s="20" t="s">
        <v>1173</v>
      </c>
      <c r="X119" s="37">
        <v>0</v>
      </c>
      <c r="Y119" s="37">
        <v>0</v>
      </c>
      <c r="Z119" s="79">
        <v>0</v>
      </c>
      <c r="AA119" s="19">
        <f t="shared" si="14"/>
        <v>11433371.4</v>
      </c>
    </row>
    <row r="120" spans="1:27" s="12" customFormat="1" ht="93.6" customHeight="1" x14ac:dyDescent="0.25">
      <c r="A120" s="17">
        <f>IF(OR(D120=0,D120=""),"",COUNTA($D$19:D120))</f>
        <v>91</v>
      </c>
      <c r="B120" s="17" t="s">
        <v>953</v>
      </c>
      <c r="C120" s="90" t="s">
        <v>181</v>
      </c>
      <c r="D120" s="43">
        <v>1971</v>
      </c>
      <c r="E120" s="16">
        <v>5883.7</v>
      </c>
      <c r="F120" s="16">
        <v>4418.5</v>
      </c>
      <c r="G120" s="16">
        <v>73.7</v>
      </c>
      <c r="H120" s="17" t="s">
        <v>257</v>
      </c>
      <c r="I120" s="15"/>
      <c r="J120" s="16">
        <f>232*E120</f>
        <v>1365018.4</v>
      </c>
      <c r="K120" s="16"/>
      <c r="L120" s="16"/>
      <c r="M120" s="16"/>
      <c r="N120" s="16"/>
      <c r="O120" s="16"/>
      <c r="P120" s="16">
        <f t="shared" ref="P120:P125" si="22">1972*E120</f>
        <v>11602656.4</v>
      </c>
      <c r="Q120" s="16"/>
      <c r="R120" s="16">
        <f>E120*1917</f>
        <v>11279052.9</v>
      </c>
      <c r="S120" s="16">
        <f>E120*90</f>
        <v>529533</v>
      </c>
      <c r="T120" s="16"/>
      <c r="U120" s="16"/>
      <c r="V120" s="19">
        <f t="shared" si="19"/>
        <v>24776260.700000003</v>
      </c>
      <c r="W120" s="20" t="s">
        <v>1173</v>
      </c>
      <c r="X120" s="37">
        <v>0</v>
      </c>
      <c r="Y120" s="37">
        <v>0</v>
      </c>
      <c r="Z120" s="79">
        <v>0</v>
      </c>
      <c r="AA120" s="19">
        <f t="shared" si="14"/>
        <v>24776260.700000003</v>
      </c>
    </row>
    <row r="121" spans="1:27" s="12" customFormat="1" ht="93.6" customHeight="1" x14ac:dyDescent="0.25">
      <c r="A121" s="17">
        <f>IF(OR(D121=0,D121=""),"",COUNTA($D$19:D121))</f>
        <v>92</v>
      </c>
      <c r="B121" s="17" t="s">
        <v>773</v>
      </c>
      <c r="C121" s="90" t="s">
        <v>360</v>
      </c>
      <c r="D121" s="49">
        <v>1972</v>
      </c>
      <c r="E121" s="45">
        <v>7567</v>
      </c>
      <c r="F121" s="45">
        <v>5619.3</v>
      </c>
      <c r="G121" s="45">
        <v>0</v>
      </c>
      <c r="H121" s="17" t="s">
        <v>257</v>
      </c>
      <c r="I121" s="15"/>
      <c r="J121" s="16"/>
      <c r="K121" s="16"/>
      <c r="L121" s="16"/>
      <c r="M121" s="16"/>
      <c r="N121" s="16"/>
      <c r="O121" s="16"/>
      <c r="P121" s="16">
        <f t="shared" si="22"/>
        <v>14922124</v>
      </c>
      <c r="Q121" s="16"/>
      <c r="R121" s="16"/>
      <c r="S121" s="16"/>
      <c r="T121" s="16"/>
      <c r="U121" s="15"/>
      <c r="V121" s="19">
        <f t="shared" si="19"/>
        <v>14922124</v>
      </c>
      <c r="W121" s="20" t="s">
        <v>1173</v>
      </c>
      <c r="X121" s="37">
        <v>0</v>
      </c>
      <c r="Y121" s="37">
        <v>0</v>
      </c>
      <c r="Z121" s="79">
        <v>0</v>
      </c>
      <c r="AA121" s="19">
        <f t="shared" si="14"/>
        <v>14922124</v>
      </c>
    </row>
    <row r="122" spans="1:27" s="12" customFormat="1" ht="93.6" customHeight="1" x14ac:dyDescent="0.25">
      <c r="A122" s="17">
        <f>IF(OR(D122=0,D122=""),"",COUNTA($D$19:D122))</f>
        <v>93</v>
      </c>
      <c r="B122" s="17" t="s">
        <v>853</v>
      </c>
      <c r="C122" s="90" t="s">
        <v>134</v>
      </c>
      <c r="D122" s="43">
        <v>1966</v>
      </c>
      <c r="E122" s="16">
        <v>5303.4</v>
      </c>
      <c r="F122" s="16">
        <v>3550.1</v>
      </c>
      <c r="G122" s="16">
        <v>0</v>
      </c>
      <c r="H122" s="17" t="s">
        <v>256</v>
      </c>
      <c r="I122" s="15"/>
      <c r="J122" s="16"/>
      <c r="K122" s="16"/>
      <c r="L122" s="16"/>
      <c r="M122" s="16"/>
      <c r="N122" s="16"/>
      <c r="O122" s="16"/>
      <c r="P122" s="16">
        <f t="shared" si="22"/>
        <v>10458304.799999999</v>
      </c>
      <c r="Q122" s="16"/>
      <c r="R122" s="16">
        <f t="shared" ref="R122:R132" si="23">E122*1917</f>
        <v>10166617.799999999</v>
      </c>
      <c r="S122" s="16"/>
      <c r="T122" s="16"/>
      <c r="U122" s="16"/>
      <c r="V122" s="19">
        <f t="shared" si="19"/>
        <v>20624922.599999998</v>
      </c>
      <c r="W122" s="20" t="s">
        <v>1173</v>
      </c>
      <c r="X122" s="37">
        <v>0</v>
      </c>
      <c r="Y122" s="37">
        <v>0</v>
      </c>
      <c r="Z122" s="79">
        <v>0</v>
      </c>
      <c r="AA122" s="19">
        <f t="shared" si="14"/>
        <v>20624922.599999998</v>
      </c>
    </row>
    <row r="123" spans="1:27" s="12" customFormat="1" ht="93.6" customHeight="1" x14ac:dyDescent="0.25">
      <c r="A123" s="17">
        <f>IF(OR(D123=0,D123=""),"",COUNTA($D$19:D123))</f>
        <v>94</v>
      </c>
      <c r="B123" s="17" t="s">
        <v>854</v>
      </c>
      <c r="C123" s="90" t="s">
        <v>135</v>
      </c>
      <c r="D123" s="43">
        <v>1966</v>
      </c>
      <c r="E123" s="16">
        <v>4566.8</v>
      </c>
      <c r="F123" s="16">
        <v>3574.6</v>
      </c>
      <c r="G123" s="16">
        <v>0</v>
      </c>
      <c r="H123" s="17" t="s">
        <v>257</v>
      </c>
      <c r="I123" s="15"/>
      <c r="J123" s="16"/>
      <c r="K123" s="16"/>
      <c r="L123" s="16"/>
      <c r="M123" s="16"/>
      <c r="N123" s="16"/>
      <c r="O123" s="16"/>
      <c r="P123" s="16">
        <f t="shared" si="22"/>
        <v>9005729.5999999996</v>
      </c>
      <c r="Q123" s="16"/>
      <c r="R123" s="16">
        <f t="shared" si="23"/>
        <v>8754555.5999999996</v>
      </c>
      <c r="S123" s="16"/>
      <c r="T123" s="16"/>
      <c r="U123" s="16"/>
      <c r="V123" s="19">
        <f t="shared" si="19"/>
        <v>17760285.199999999</v>
      </c>
      <c r="W123" s="20" t="s">
        <v>1173</v>
      </c>
      <c r="X123" s="37">
        <v>0</v>
      </c>
      <c r="Y123" s="37">
        <v>0</v>
      </c>
      <c r="Z123" s="79">
        <v>0</v>
      </c>
      <c r="AA123" s="19">
        <f t="shared" si="14"/>
        <v>17760285.199999999</v>
      </c>
    </row>
    <row r="124" spans="1:27" s="12" customFormat="1" ht="93.6" customHeight="1" x14ac:dyDescent="0.25">
      <c r="A124" s="17">
        <f>IF(OR(D124=0,D124=""),"",COUNTA($D$19:D124))</f>
        <v>95</v>
      </c>
      <c r="B124" s="17" t="s">
        <v>1031</v>
      </c>
      <c r="C124" s="90" t="s">
        <v>210</v>
      </c>
      <c r="D124" s="43">
        <v>1966</v>
      </c>
      <c r="E124" s="16">
        <v>3193.3</v>
      </c>
      <c r="F124" s="16">
        <v>2767.7</v>
      </c>
      <c r="G124" s="16">
        <v>425.6</v>
      </c>
      <c r="H124" s="17" t="s">
        <v>257</v>
      </c>
      <c r="I124" s="15"/>
      <c r="J124" s="16"/>
      <c r="K124" s="16"/>
      <c r="L124" s="16"/>
      <c r="M124" s="16"/>
      <c r="N124" s="16"/>
      <c r="O124" s="16"/>
      <c r="P124" s="16">
        <f t="shared" si="22"/>
        <v>6297187.6000000006</v>
      </c>
      <c r="Q124" s="16"/>
      <c r="R124" s="16">
        <f t="shared" si="23"/>
        <v>6121556.1000000006</v>
      </c>
      <c r="S124" s="16">
        <f>E124*90</f>
        <v>287397</v>
      </c>
      <c r="T124" s="16"/>
      <c r="U124" s="15"/>
      <c r="V124" s="19">
        <f t="shared" si="19"/>
        <v>12706140.700000001</v>
      </c>
      <c r="W124" s="20" t="s">
        <v>1173</v>
      </c>
      <c r="X124" s="37">
        <v>0</v>
      </c>
      <c r="Y124" s="37">
        <v>0</v>
      </c>
      <c r="Z124" s="79">
        <v>0</v>
      </c>
      <c r="AA124" s="19">
        <f t="shared" si="14"/>
        <v>12706140.700000001</v>
      </c>
    </row>
    <row r="125" spans="1:27" s="12" customFormat="1" ht="93.6" customHeight="1" x14ac:dyDescent="0.25">
      <c r="A125" s="17">
        <f>IF(OR(D125=0,D125=""),"",COUNTA($D$19:D125))</f>
        <v>96</v>
      </c>
      <c r="B125" s="17" t="s">
        <v>1032</v>
      </c>
      <c r="C125" s="90" t="s">
        <v>211</v>
      </c>
      <c r="D125" s="43">
        <v>1966</v>
      </c>
      <c r="E125" s="16">
        <v>3368.9</v>
      </c>
      <c r="F125" s="16">
        <v>2822.4</v>
      </c>
      <c r="G125" s="16">
        <v>546.5</v>
      </c>
      <c r="H125" s="17" t="s">
        <v>257</v>
      </c>
      <c r="I125" s="15"/>
      <c r="J125" s="16"/>
      <c r="K125" s="16"/>
      <c r="L125" s="16"/>
      <c r="M125" s="16"/>
      <c r="N125" s="16"/>
      <c r="O125" s="16"/>
      <c r="P125" s="16">
        <f t="shared" si="22"/>
        <v>6643470.7999999998</v>
      </c>
      <c r="Q125" s="16"/>
      <c r="R125" s="16">
        <f t="shared" si="23"/>
        <v>6458181.2999999998</v>
      </c>
      <c r="S125" s="16">
        <f>E125*90</f>
        <v>303201</v>
      </c>
      <c r="T125" s="16"/>
      <c r="U125" s="15"/>
      <c r="V125" s="19">
        <f t="shared" si="19"/>
        <v>13404853.1</v>
      </c>
      <c r="W125" s="20" t="s">
        <v>1173</v>
      </c>
      <c r="X125" s="37">
        <v>0</v>
      </c>
      <c r="Y125" s="37">
        <v>0</v>
      </c>
      <c r="Z125" s="79">
        <v>0</v>
      </c>
      <c r="AA125" s="19">
        <f t="shared" ref="AA125:AA182" si="24">V125-(X125+Y125+Z125)</f>
        <v>13404853.1</v>
      </c>
    </row>
    <row r="126" spans="1:27" s="12" customFormat="1" ht="93.6" customHeight="1" x14ac:dyDescent="0.25">
      <c r="A126" s="17">
        <f>IF(OR(D126=0,D126=""),"",COUNTA($D$19:D126))</f>
        <v>97</v>
      </c>
      <c r="B126" s="17" t="s">
        <v>855</v>
      </c>
      <c r="C126" s="90" t="s">
        <v>136</v>
      </c>
      <c r="D126" s="43">
        <v>1969</v>
      </c>
      <c r="E126" s="16">
        <v>5844.5</v>
      </c>
      <c r="F126" s="16">
        <v>4508.2</v>
      </c>
      <c r="G126" s="16">
        <v>0</v>
      </c>
      <c r="H126" s="17" t="s">
        <v>257</v>
      </c>
      <c r="I126" s="15"/>
      <c r="J126" s="16">
        <f>232*E126</f>
        <v>1355924</v>
      </c>
      <c r="K126" s="16"/>
      <c r="L126" s="16"/>
      <c r="M126" s="16"/>
      <c r="N126" s="16"/>
      <c r="O126" s="16"/>
      <c r="P126" s="16"/>
      <c r="Q126" s="16">
        <f>E126*113</f>
        <v>660428.5</v>
      </c>
      <c r="R126" s="16">
        <f t="shared" si="23"/>
        <v>11203906.5</v>
      </c>
      <c r="S126" s="16">
        <f>E126*90</f>
        <v>526005</v>
      </c>
      <c r="T126" s="16"/>
      <c r="U126" s="15"/>
      <c r="V126" s="19">
        <f t="shared" si="19"/>
        <v>13746264</v>
      </c>
      <c r="W126" s="20" t="s">
        <v>1173</v>
      </c>
      <c r="X126" s="37">
        <v>0</v>
      </c>
      <c r="Y126" s="37">
        <v>0</v>
      </c>
      <c r="Z126" s="79">
        <v>0</v>
      </c>
      <c r="AA126" s="19">
        <f t="shared" si="24"/>
        <v>13746264</v>
      </c>
    </row>
    <row r="127" spans="1:27" s="12" customFormat="1" ht="93.6" customHeight="1" x14ac:dyDescent="0.25">
      <c r="A127" s="17">
        <f>IF(OR(D127=0,D127=""),"",COUNTA($D$19:D127))</f>
        <v>98</v>
      </c>
      <c r="B127" s="17" t="s">
        <v>836</v>
      </c>
      <c r="C127" s="90" t="s">
        <v>118</v>
      </c>
      <c r="D127" s="43">
        <v>1972</v>
      </c>
      <c r="E127" s="16">
        <v>3718.3</v>
      </c>
      <c r="F127" s="16">
        <v>2698.1</v>
      </c>
      <c r="G127" s="16">
        <v>0</v>
      </c>
      <c r="H127" s="17" t="s">
        <v>257</v>
      </c>
      <c r="I127" s="15"/>
      <c r="J127" s="16"/>
      <c r="K127" s="16"/>
      <c r="L127" s="16"/>
      <c r="M127" s="16"/>
      <c r="N127" s="16"/>
      <c r="O127" s="16"/>
      <c r="P127" s="16">
        <f t="shared" ref="P127:P132" si="25">1972*E127</f>
        <v>7332487.6000000006</v>
      </c>
      <c r="Q127" s="16"/>
      <c r="R127" s="16">
        <f t="shared" si="23"/>
        <v>7127981.1000000006</v>
      </c>
      <c r="S127" s="16"/>
      <c r="T127" s="16"/>
      <c r="U127" s="16"/>
      <c r="V127" s="19">
        <f t="shared" si="19"/>
        <v>14460468.700000001</v>
      </c>
      <c r="W127" s="20" t="s">
        <v>1173</v>
      </c>
      <c r="X127" s="37">
        <v>0</v>
      </c>
      <c r="Y127" s="37">
        <v>0</v>
      </c>
      <c r="Z127" s="79">
        <v>0</v>
      </c>
      <c r="AA127" s="19">
        <f t="shared" si="24"/>
        <v>14460468.700000001</v>
      </c>
    </row>
    <row r="128" spans="1:27" s="12" customFormat="1" ht="93.6" customHeight="1" x14ac:dyDescent="0.25">
      <c r="A128" s="17">
        <f>IF(OR(D128=0,D128=""),"",COUNTA($D$19:D128))</f>
        <v>99</v>
      </c>
      <c r="B128" s="17" t="s">
        <v>797</v>
      </c>
      <c r="C128" s="90" t="s">
        <v>94</v>
      </c>
      <c r="D128" s="43">
        <v>1972</v>
      </c>
      <c r="E128" s="16">
        <v>7966.89</v>
      </c>
      <c r="F128" s="16">
        <v>4716.59</v>
      </c>
      <c r="G128" s="16">
        <v>375.4</v>
      </c>
      <c r="H128" s="17" t="s">
        <v>257</v>
      </c>
      <c r="I128" s="15"/>
      <c r="J128" s="16"/>
      <c r="K128" s="16"/>
      <c r="L128" s="16"/>
      <c r="M128" s="16"/>
      <c r="N128" s="16"/>
      <c r="O128" s="16"/>
      <c r="P128" s="16">
        <f t="shared" si="25"/>
        <v>15710707.08</v>
      </c>
      <c r="Q128" s="16"/>
      <c r="R128" s="16">
        <f t="shared" si="23"/>
        <v>15272528.130000001</v>
      </c>
      <c r="S128" s="16"/>
      <c r="T128" s="16"/>
      <c r="U128" s="16"/>
      <c r="V128" s="19">
        <f t="shared" si="19"/>
        <v>30983235.210000001</v>
      </c>
      <c r="W128" s="20" t="s">
        <v>1173</v>
      </c>
      <c r="X128" s="37">
        <v>0</v>
      </c>
      <c r="Y128" s="37">
        <v>0</v>
      </c>
      <c r="Z128" s="79">
        <v>0</v>
      </c>
      <c r="AA128" s="19">
        <f t="shared" si="24"/>
        <v>30983235.210000001</v>
      </c>
    </row>
    <row r="129" spans="1:27" s="12" customFormat="1" ht="93.75" customHeight="1" x14ac:dyDescent="0.25">
      <c r="A129" s="17">
        <f>IF(OR(D129=0,D129=""),"",COUNTA($D$19:D129))</f>
        <v>100</v>
      </c>
      <c r="B129" s="17" t="s">
        <v>1151</v>
      </c>
      <c r="C129" s="90" t="s">
        <v>198</v>
      </c>
      <c r="D129" s="15">
        <v>1959</v>
      </c>
      <c r="E129" s="16">
        <v>2262</v>
      </c>
      <c r="F129" s="16">
        <v>1505.9</v>
      </c>
      <c r="G129" s="16">
        <v>72.5</v>
      </c>
      <c r="H129" s="17" t="s">
        <v>257</v>
      </c>
      <c r="I129" s="15"/>
      <c r="J129" s="16"/>
      <c r="K129" s="16"/>
      <c r="L129" s="16"/>
      <c r="M129" s="16"/>
      <c r="N129" s="16"/>
      <c r="O129" s="16"/>
      <c r="P129" s="16">
        <f t="shared" si="25"/>
        <v>4460664</v>
      </c>
      <c r="Q129" s="16">
        <f>E129*113</f>
        <v>255606</v>
      </c>
      <c r="R129" s="16">
        <f t="shared" si="23"/>
        <v>4336254</v>
      </c>
      <c r="S129" s="16">
        <f>E129*90</f>
        <v>203580</v>
      </c>
      <c r="T129" s="16"/>
      <c r="U129" s="16"/>
      <c r="V129" s="19">
        <f t="shared" si="19"/>
        <v>9256104</v>
      </c>
      <c r="W129" s="20" t="s">
        <v>1173</v>
      </c>
      <c r="X129" s="37">
        <v>0</v>
      </c>
      <c r="Y129" s="37">
        <v>0</v>
      </c>
      <c r="Z129" s="79">
        <v>0</v>
      </c>
      <c r="AA129" s="19">
        <f t="shared" si="24"/>
        <v>9256104</v>
      </c>
    </row>
    <row r="130" spans="1:27" s="12" customFormat="1" ht="93.75" customHeight="1" x14ac:dyDescent="0.25">
      <c r="A130" s="17">
        <f>IF(OR(D130=0,D130=""),"",COUNTA($D$19:D130))</f>
        <v>101</v>
      </c>
      <c r="B130" s="17" t="s">
        <v>887</v>
      </c>
      <c r="C130" s="90" t="s">
        <v>150</v>
      </c>
      <c r="D130" s="43">
        <v>1964</v>
      </c>
      <c r="E130" s="16">
        <v>3312.2</v>
      </c>
      <c r="F130" s="16">
        <v>2578.4</v>
      </c>
      <c r="G130" s="16">
        <v>0</v>
      </c>
      <c r="H130" s="17" t="s">
        <v>257</v>
      </c>
      <c r="I130" s="15"/>
      <c r="J130" s="16">
        <f>232*E130</f>
        <v>768430.39999999991</v>
      </c>
      <c r="K130" s="16"/>
      <c r="L130" s="16"/>
      <c r="M130" s="16"/>
      <c r="N130" s="16"/>
      <c r="O130" s="16"/>
      <c r="P130" s="16">
        <f t="shared" si="25"/>
        <v>6531658.3999999994</v>
      </c>
      <c r="Q130" s="16"/>
      <c r="R130" s="16">
        <f t="shared" si="23"/>
        <v>6349487.3999999994</v>
      </c>
      <c r="S130" s="16">
        <f>E130*90</f>
        <v>298098</v>
      </c>
      <c r="T130" s="16"/>
      <c r="U130" s="16"/>
      <c r="V130" s="19">
        <f t="shared" si="19"/>
        <v>13947674.199999999</v>
      </c>
      <c r="W130" s="20" t="s">
        <v>1173</v>
      </c>
      <c r="X130" s="37">
        <v>0</v>
      </c>
      <c r="Y130" s="37">
        <v>0</v>
      </c>
      <c r="Z130" s="79">
        <v>0</v>
      </c>
      <c r="AA130" s="19">
        <f t="shared" si="24"/>
        <v>13947674.199999999</v>
      </c>
    </row>
    <row r="131" spans="1:27" s="12" customFormat="1" ht="93.75" customHeight="1" x14ac:dyDescent="0.25">
      <c r="A131" s="17">
        <f>IF(OR(D131=0,D131=""),"",COUNTA($D$19:D131))</f>
        <v>102</v>
      </c>
      <c r="B131" s="17" t="s">
        <v>926</v>
      </c>
      <c r="C131" s="90" t="s">
        <v>170</v>
      </c>
      <c r="D131" s="43">
        <v>1967</v>
      </c>
      <c r="E131" s="16">
        <v>5201</v>
      </c>
      <c r="F131" s="16">
        <v>3205</v>
      </c>
      <c r="G131" s="16">
        <v>1996</v>
      </c>
      <c r="H131" s="17" t="s">
        <v>257</v>
      </c>
      <c r="I131" s="15"/>
      <c r="J131" s="16"/>
      <c r="K131" s="16"/>
      <c r="L131" s="16"/>
      <c r="M131" s="16"/>
      <c r="N131" s="16"/>
      <c r="O131" s="16"/>
      <c r="P131" s="16">
        <f t="shared" si="25"/>
        <v>10256372</v>
      </c>
      <c r="Q131" s="16"/>
      <c r="R131" s="16">
        <f t="shared" si="23"/>
        <v>9970317</v>
      </c>
      <c r="S131" s="16"/>
      <c r="T131" s="16"/>
      <c r="U131" s="16"/>
      <c r="V131" s="19">
        <f t="shared" si="19"/>
        <v>20226689</v>
      </c>
      <c r="W131" s="20" t="s">
        <v>1173</v>
      </c>
      <c r="X131" s="37">
        <v>0</v>
      </c>
      <c r="Y131" s="37">
        <v>0</v>
      </c>
      <c r="Z131" s="79">
        <v>0</v>
      </c>
      <c r="AA131" s="19">
        <f t="shared" si="24"/>
        <v>20226689</v>
      </c>
    </row>
    <row r="132" spans="1:27" s="12" customFormat="1" ht="93.75" customHeight="1" x14ac:dyDescent="0.25">
      <c r="A132" s="17">
        <f>IF(OR(D132=0,D132=""),"",COUNTA($D$19:D132))</f>
        <v>103</v>
      </c>
      <c r="B132" s="17" t="s">
        <v>791</v>
      </c>
      <c r="C132" s="90" t="s">
        <v>359</v>
      </c>
      <c r="D132" s="43">
        <v>1967</v>
      </c>
      <c r="E132" s="16">
        <v>4316.5</v>
      </c>
      <c r="F132" s="16">
        <v>3166.8</v>
      </c>
      <c r="G132" s="16">
        <v>0</v>
      </c>
      <c r="H132" s="17" t="s">
        <v>257</v>
      </c>
      <c r="I132" s="15"/>
      <c r="J132" s="16"/>
      <c r="K132" s="16"/>
      <c r="L132" s="16"/>
      <c r="M132" s="16"/>
      <c r="N132" s="16"/>
      <c r="O132" s="16"/>
      <c r="P132" s="16">
        <f t="shared" si="25"/>
        <v>8512138</v>
      </c>
      <c r="Q132" s="16"/>
      <c r="R132" s="16">
        <f t="shared" si="23"/>
        <v>8274730.5</v>
      </c>
      <c r="S132" s="16"/>
      <c r="T132" s="16"/>
      <c r="U132" s="15"/>
      <c r="V132" s="19">
        <f t="shared" si="19"/>
        <v>16786868.5</v>
      </c>
      <c r="W132" s="20" t="s">
        <v>1173</v>
      </c>
      <c r="X132" s="37">
        <v>0</v>
      </c>
      <c r="Y132" s="37">
        <v>0</v>
      </c>
      <c r="Z132" s="79">
        <v>0</v>
      </c>
      <c r="AA132" s="19">
        <f t="shared" si="24"/>
        <v>16786868.5</v>
      </c>
    </row>
    <row r="133" spans="1:27" s="12" customFormat="1" ht="93.75" customHeight="1" x14ac:dyDescent="0.25">
      <c r="A133" s="17">
        <f>IF(OR(D133=0,D133=""),"",COUNTA($D$19:D133))</f>
        <v>104</v>
      </c>
      <c r="B133" s="17" t="s">
        <v>906</v>
      </c>
      <c r="C133" s="90" t="s">
        <v>355</v>
      </c>
      <c r="D133" s="43">
        <v>1975</v>
      </c>
      <c r="E133" s="16">
        <v>1157.8</v>
      </c>
      <c r="F133" s="16">
        <v>1069.4000000000001</v>
      </c>
      <c r="G133" s="16">
        <v>0</v>
      </c>
      <c r="H133" s="17" t="s">
        <v>254</v>
      </c>
      <c r="I133" s="15"/>
      <c r="J133" s="16"/>
      <c r="K133" s="16"/>
      <c r="L133" s="16"/>
      <c r="M133" s="16"/>
      <c r="N133" s="16"/>
      <c r="O133" s="16"/>
      <c r="P133" s="16">
        <f>E133*1919</f>
        <v>2221818.1999999997</v>
      </c>
      <c r="Q133" s="16"/>
      <c r="R133" s="16">
        <f>E133*1853</f>
        <v>2145403.4</v>
      </c>
      <c r="S133" s="16"/>
      <c r="T133" s="16"/>
      <c r="U133" s="15"/>
      <c r="V133" s="19">
        <f t="shared" si="19"/>
        <v>4367221.5999999996</v>
      </c>
      <c r="W133" s="20" t="s">
        <v>1173</v>
      </c>
      <c r="X133" s="37">
        <v>0</v>
      </c>
      <c r="Y133" s="37">
        <v>0</v>
      </c>
      <c r="Z133" s="79">
        <v>0</v>
      </c>
      <c r="AA133" s="19">
        <f t="shared" si="24"/>
        <v>4367221.5999999996</v>
      </c>
    </row>
    <row r="134" spans="1:27" s="12" customFormat="1" ht="93.75" customHeight="1" x14ac:dyDescent="0.25">
      <c r="A134" s="17">
        <f>IF(OR(D134=0,D134=""),"",COUNTA($D$19:D134))</f>
        <v>105</v>
      </c>
      <c r="B134" s="17" t="s">
        <v>803</v>
      </c>
      <c r="C134" s="90" t="s">
        <v>97</v>
      </c>
      <c r="D134" s="43">
        <v>1973</v>
      </c>
      <c r="E134" s="16">
        <v>3703.6</v>
      </c>
      <c r="F134" s="16">
        <v>2674.9</v>
      </c>
      <c r="G134" s="16">
        <v>0</v>
      </c>
      <c r="H134" s="17" t="s">
        <v>257</v>
      </c>
      <c r="I134" s="15"/>
      <c r="J134" s="16"/>
      <c r="K134" s="16"/>
      <c r="L134" s="16"/>
      <c r="M134" s="16"/>
      <c r="N134" s="16"/>
      <c r="O134" s="16"/>
      <c r="P134" s="16">
        <f>1972*E134</f>
        <v>7303499.2000000002</v>
      </c>
      <c r="Q134" s="16"/>
      <c r="R134" s="16">
        <f>E134*1917</f>
        <v>7099801.2000000002</v>
      </c>
      <c r="S134" s="16"/>
      <c r="T134" s="16"/>
      <c r="U134" s="15"/>
      <c r="V134" s="19">
        <f t="shared" si="19"/>
        <v>14403300.4</v>
      </c>
      <c r="W134" s="20" t="s">
        <v>1173</v>
      </c>
      <c r="X134" s="37">
        <v>0</v>
      </c>
      <c r="Y134" s="37">
        <v>0</v>
      </c>
      <c r="Z134" s="79">
        <v>0</v>
      </c>
      <c r="AA134" s="19">
        <f t="shared" si="24"/>
        <v>14403300.4</v>
      </c>
    </row>
    <row r="135" spans="1:27" s="12" customFormat="1" ht="93.75" customHeight="1" x14ac:dyDescent="0.25">
      <c r="A135" s="17">
        <f>IF(OR(D135=0,D135=""),"",COUNTA($D$19:D135))</f>
        <v>106</v>
      </c>
      <c r="B135" s="17" t="s">
        <v>804</v>
      </c>
      <c r="C135" s="90" t="s">
        <v>98</v>
      </c>
      <c r="D135" s="43">
        <v>1973</v>
      </c>
      <c r="E135" s="16">
        <v>3715.3</v>
      </c>
      <c r="F135" s="16">
        <v>1680.8</v>
      </c>
      <c r="G135" s="16">
        <v>0</v>
      </c>
      <c r="H135" s="17" t="s">
        <v>257</v>
      </c>
      <c r="I135" s="15"/>
      <c r="J135" s="16"/>
      <c r="K135" s="16"/>
      <c r="L135" s="16"/>
      <c r="M135" s="16"/>
      <c r="N135" s="16"/>
      <c r="O135" s="16"/>
      <c r="P135" s="16">
        <f>1972*E135</f>
        <v>7326571.6000000006</v>
      </c>
      <c r="Q135" s="16"/>
      <c r="R135" s="16">
        <f>E135*1917</f>
        <v>7122230.1000000006</v>
      </c>
      <c r="S135" s="16"/>
      <c r="T135" s="16"/>
      <c r="U135" s="15"/>
      <c r="V135" s="19">
        <f t="shared" si="19"/>
        <v>14448801.700000001</v>
      </c>
      <c r="W135" s="20" t="s">
        <v>1173</v>
      </c>
      <c r="X135" s="37">
        <v>0</v>
      </c>
      <c r="Y135" s="37">
        <v>0</v>
      </c>
      <c r="Z135" s="79">
        <v>0</v>
      </c>
      <c r="AA135" s="19">
        <f t="shared" si="24"/>
        <v>14448801.700000001</v>
      </c>
    </row>
    <row r="136" spans="1:27" s="12" customFormat="1" ht="93.75" customHeight="1" x14ac:dyDescent="0.25">
      <c r="A136" s="17">
        <f>IF(OR(D136=0,D136=""),"",COUNTA($D$19:D136))</f>
        <v>107</v>
      </c>
      <c r="B136" s="17" t="s">
        <v>1152</v>
      </c>
      <c r="C136" s="90" t="s">
        <v>41</v>
      </c>
      <c r="D136" s="43">
        <v>1968</v>
      </c>
      <c r="E136" s="16">
        <v>2960.3</v>
      </c>
      <c r="F136" s="16">
        <v>2332</v>
      </c>
      <c r="G136" s="16">
        <v>23</v>
      </c>
      <c r="H136" s="17" t="s">
        <v>255</v>
      </c>
      <c r="I136" s="15">
        <v>1</v>
      </c>
      <c r="J136" s="16"/>
      <c r="K136" s="16"/>
      <c r="L136" s="16"/>
      <c r="M136" s="16"/>
      <c r="N136" s="16"/>
      <c r="O136" s="16"/>
      <c r="P136" s="16"/>
      <c r="Q136" s="16"/>
      <c r="R136" s="16">
        <f>E136*1232</f>
        <v>3647089.6</v>
      </c>
      <c r="S136" s="16"/>
      <c r="T136" s="16"/>
      <c r="U136" s="16"/>
      <c r="V136" s="19">
        <f t="shared" si="19"/>
        <v>3647089.6</v>
      </c>
      <c r="W136" s="20" t="s">
        <v>1173</v>
      </c>
      <c r="X136" s="37">
        <v>0</v>
      </c>
      <c r="Y136" s="37">
        <v>0</v>
      </c>
      <c r="Z136" s="79">
        <v>0</v>
      </c>
      <c r="AA136" s="19">
        <f t="shared" si="24"/>
        <v>3647089.6</v>
      </c>
    </row>
    <row r="137" spans="1:27" s="12" customFormat="1" ht="93.75" customHeight="1" x14ac:dyDescent="0.25">
      <c r="A137" s="17">
        <f>IF(OR(D137=0,D137=""),"",COUNTA($D$19:D137))</f>
        <v>108</v>
      </c>
      <c r="B137" s="17" t="s">
        <v>929</v>
      </c>
      <c r="C137" s="90" t="s">
        <v>171</v>
      </c>
      <c r="D137" s="43">
        <v>1960</v>
      </c>
      <c r="E137" s="16">
        <v>1998.9</v>
      </c>
      <c r="F137" s="16">
        <v>1239</v>
      </c>
      <c r="G137" s="16">
        <v>0</v>
      </c>
      <c r="H137" s="17" t="s">
        <v>256</v>
      </c>
      <c r="I137" s="15"/>
      <c r="J137" s="16">
        <f>232*E137</f>
        <v>463744.80000000005</v>
      </c>
      <c r="K137" s="16">
        <f>412*E137</f>
        <v>823546.8</v>
      </c>
      <c r="L137" s="16"/>
      <c r="M137" s="16">
        <f>249*E137</f>
        <v>497726.10000000003</v>
      </c>
      <c r="N137" s="16">
        <f>117*E137</f>
        <v>233871.30000000002</v>
      </c>
      <c r="O137" s="16"/>
      <c r="P137" s="16"/>
      <c r="Q137" s="16">
        <f>E137*113</f>
        <v>225875.7</v>
      </c>
      <c r="R137" s="16"/>
      <c r="S137" s="16"/>
      <c r="T137" s="16"/>
      <c r="U137" s="15"/>
      <c r="V137" s="19">
        <f t="shared" si="19"/>
        <v>2244764.7000000002</v>
      </c>
      <c r="W137" s="20" t="s">
        <v>1173</v>
      </c>
      <c r="X137" s="37">
        <v>0</v>
      </c>
      <c r="Y137" s="37">
        <v>0</v>
      </c>
      <c r="Z137" s="79">
        <v>0</v>
      </c>
      <c r="AA137" s="19">
        <f t="shared" si="24"/>
        <v>2244764.7000000002</v>
      </c>
    </row>
    <row r="138" spans="1:27" s="12" customFormat="1" ht="93.75" customHeight="1" x14ac:dyDescent="0.25">
      <c r="A138" s="17">
        <f>IF(OR(D138=0,D138=""),"",COUNTA($D$19:D138))</f>
        <v>109</v>
      </c>
      <c r="B138" s="17" t="s">
        <v>1156</v>
      </c>
      <c r="C138" s="90" t="s">
        <v>72</v>
      </c>
      <c r="D138" s="43">
        <v>1962</v>
      </c>
      <c r="E138" s="16">
        <v>2035.5</v>
      </c>
      <c r="F138" s="16">
        <v>1176.4000000000001</v>
      </c>
      <c r="G138" s="16">
        <v>90</v>
      </c>
      <c r="H138" s="17" t="s">
        <v>256</v>
      </c>
      <c r="I138" s="15"/>
      <c r="J138" s="16">
        <f>232*E138</f>
        <v>472236</v>
      </c>
      <c r="K138" s="16">
        <f>412*E138</f>
        <v>838626</v>
      </c>
      <c r="L138" s="16"/>
      <c r="M138" s="16">
        <f>249*E138</f>
        <v>506839.5</v>
      </c>
      <c r="N138" s="16">
        <f>117*E138</f>
        <v>238153.5</v>
      </c>
      <c r="O138" s="16"/>
      <c r="P138" s="16">
        <f>1972*E138</f>
        <v>4014006</v>
      </c>
      <c r="Q138" s="16">
        <f>113*E138</f>
        <v>230011.5</v>
      </c>
      <c r="R138" s="16">
        <f>1917*E138</f>
        <v>3902053.5</v>
      </c>
      <c r="S138" s="16">
        <f>E138*90</f>
        <v>183195</v>
      </c>
      <c r="T138" s="16"/>
      <c r="U138" s="16"/>
      <c r="V138" s="19">
        <f t="shared" si="19"/>
        <v>10385121</v>
      </c>
      <c r="W138" s="20" t="s">
        <v>1173</v>
      </c>
      <c r="X138" s="37">
        <v>0</v>
      </c>
      <c r="Y138" s="37">
        <v>0</v>
      </c>
      <c r="Z138" s="79">
        <v>0</v>
      </c>
      <c r="AA138" s="19">
        <f t="shared" si="24"/>
        <v>10385121</v>
      </c>
    </row>
    <row r="139" spans="1:27" s="12" customFormat="1" ht="93.75" customHeight="1" x14ac:dyDescent="0.25">
      <c r="A139" s="17">
        <f>IF(OR(D139=0,D139=""),"",COUNTA($D$19:D139))</f>
        <v>110</v>
      </c>
      <c r="B139" s="17" t="s">
        <v>768</v>
      </c>
      <c r="C139" s="90" t="s">
        <v>78</v>
      </c>
      <c r="D139" s="43">
        <v>1962</v>
      </c>
      <c r="E139" s="16">
        <v>2436.6999999999998</v>
      </c>
      <c r="F139" s="16">
        <v>1471.1</v>
      </c>
      <c r="G139" s="16">
        <v>126.4</v>
      </c>
      <c r="H139" s="17" t="s">
        <v>257</v>
      </c>
      <c r="I139" s="15"/>
      <c r="J139" s="16">
        <f>232*E139</f>
        <v>565314.39999999991</v>
      </c>
      <c r="K139" s="16">
        <f>412*E139</f>
        <v>1003920.3999999999</v>
      </c>
      <c r="L139" s="16"/>
      <c r="M139" s="16">
        <f>249*E139</f>
        <v>606738.29999999993</v>
      </c>
      <c r="N139" s="16">
        <f>117*E139</f>
        <v>285093.89999999997</v>
      </c>
      <c r="O139" s="16"/>
      <c r="P139" s="16"/>
      <c r="Q139" s="16">
        <f>E139*113</f>
        <v>275347.09999999998</v>
      </c>
      <c r="R139" s="16"/>
      <c r="S139" s="16"/>
      <c r="T139" s="16"/>
      <c r="U139" s="15"/>
      <c r="V139" s="19">
        <f t="shared" si="19"/>
        <v>2736414.0999999996</v>
      </c>
      <c r="W139" s="20" t="s">
        <v>1173</v>
      </c>
      <c r="X139" s="37">
        <v>0</v>
      </c>
      <c r="Y139" s="37">
        <v>0</v>
      </c>
      <c r="Z139" s="79">
        <v>0</v>
      </c>
      <c r="AA139" s="19">
        <f t="shared" si="24"/>
        <v>2736414.0999999996</v>
      </c>
    </row>
    <row r="140" spans="1:27" s="12" customFormat="1" ht="93.75" customHeight="1" x14ac:dyDescent="0.25">
      <c r="A140" s="17">
        <f>IF(OR(D140=0,D140=""),"",COUNTA($D$19:D140))</f>
        <v>111</v>
      </c>
      <c r="B140" s="17" t="s">
        <v>734</v>
      </c>
      <c r="C140" s="90" t="s">
        <v>62</v>
      </c>
      <c r="D140" s="43">
        <v>1964</v>
      </c>
      <c r="E140" s="16">
        <v>3834.6</v>
      </c>
      <c r="F140" s="16">
        <v>2583.5</v>
      </c>
      <c r="G140" s="16">
        <v>0</v>
      </c>
      <c r="H140" s="17" t="s">
        <v>257</v>
      </c>
      <c r="I140" s="15"/>
      <c r="J140" s="16"/>
      <c r="K140" s="16"/>
      <c r="L140" s="16"/>
      <c r="M140" s="16"/>
      <c r="N140" s="16"/>
      <c r="O140" s="16"/>
      <c r="P140" s="16">
        <f t="shared" ref="P140:P154" si="26">1972*E140</f>
        <v>7561831.2000000002</v>
      </c>
      <c r="Q140" s="16"/>
      <c r="R140" s="16">
        <f>E140*1917</f>
        <v>7350928.2000000002</v>
      </c>
      <c r="S140" s="16"/>
      <c r="T140" s="16"/>
      <c r="U140" s="16"/>
      <c r="V140" s="19">
        <f t="shared" si="19"/>
        <v>14912759.4</v>
      </c>
      <c r="W140" s="20" t="s">
        <v>1173</v>
      </c>
      <c r="X140" s="37">
        <v>0</v>
      </c>
      <c r="Y140" s="37">
        <v>0</v>
      </c>
      <c r="Z140" s="79">
        <v>0</v>
      </c>
      <c r="AA140" s="19">
        <f t="shared" si="24"/>
        <v>14912759.4</v>
      </c>
    </row>
    <row r="141" spans="1:27" s="12" customFormat="1" ht="93.75" customHeight="1" x14ac:dyDescent="0.25">
      <c r="A141" s="17">
        <f>IF(OR(D141=0,D141=""),"",COUNTA($D$19:D141))</f>
        <v>112</v>
      </c>
      <c r="B141" s="17" t="s">
        <v>786</v>
      </c>
      <c r="C141" s="90" t="s">
        <v>88</v>
      </c>
      <c r="D141" s="43">
        <v>1964</v>
      </c>
      <c r="E141" s="16">
        <v>1927</v>
      </c>
      <c r="F141" s="16">
        <v>1175.2</v>
      </c>
      <c r="G141" s="16">
        <v>116.1</v>
      </c>
      <c r="H141" s="17" t="s">
        <v>256</v>
      </c>
      <c r="I141" s="15"/>
      <c r="J141" s="16">
        <f>232*E141</f>
        <v>447064</v>
      </c>
      <c r="K141" s="16"/>
      <c r="L141" s="16"/>
      <c r="M141" s="16">
        <f>249*E141</f>
        <v>479823</v>
      </c>
      <c r="N141" s="16">
        <f>117*E141</f>
        <v>225459</v>
      </c>
      <c r="O141" s="16"/>
      <c r="P141" s="16">
        <f t="shared" si="26"/>
        <v>3800044</v>
      </c>
      <c r="Q141" s="16">
        <f>113*E141</f>
        <v>217751</v>
      </c>
      <c r="R141" s="16">
        <f>1917*E141</f>
        <v>3694059</v>
      </c>
      <c r="S141" s="16">
        <f>E141*90</f>
        <v>173430</v>
      </c>
      <c r="T141" s="16"/>
      <c r="U141" s="16"/>
      <c r="V141" s="19">
        <f t="shared" si="19"/>
        <v>9037630</v>
      </c>
      <c r="W141" s="20" t="s">
        <v>1173</v>
      </c>
      <c r="X141" s="37">
        <v>0</v>
      </c>
      <c r="Y141" s="37">
        <v>0</v>
      </c>
      <c r="Z141" s="79">
        <v>0</v>
      </c>
      <c r="AA141" s="19">
        <f t="shared" si="24"/>
        <v>9037630</v>
      </c>
    </row>
    <row r="142" spans="1:27" s="12" customFormat="1" ht="93.75" customHeight="1" x14ac:dyDescent="0.25">
      <c r="A142" s="17">
        <f>IF(OR(D142=0,D142=""),"",COUNTA($D$19:D142))</f>
        <v>113</v>
      </c>
      <c r="B142" s="17" t="s">
        <v>793</v>
      </c>
      <c r="C142" s="90" t="s">
        <v>92</v>
      </c>
      <c r="D142" s="43">
        <v>1968</v>
      </c>
      <c r="E142" s="16">
        <v>2139.3000000000002</v>
      </c>
      <c r="F142" s="16">
        <v>1579</v>
      </c>
      <c r="G142" s="16">
        <v>0</v>
      </c>
      <c r="H142" s="17" t="s">
        <v>257</v>
      </c>
      <c r="I142" s="15"/>
      <c r="J142" s="16"/>
      <c r="K142" s="16"/>
      <c r="L142" s="16"/>
      <c r="M142" s="16"/>
      <c r="N142" s="16"/>
      <c r="O142" s="16"/>
      <c r="P142" s="16">
        <f t="shared" si="26"/>
        <v>4218699.6000000006</v>
      </c>
      <c r="Q142" s="16"/>
      <c r="R142" s="16">
        <f>E142*1917</f>
        <v>4101038.1000000006</v>
      </c>
      <c r="S142" s="16"/>
      <c r="T142" s="16"/>
      <c r="U142" s="16"/>
      <c r="V142" s="19">
        <f t="shared" si="19"/>
        <v>8319737.7000000011</v>
      </c>
      <c r="W142" s="20" t="s">
        <v>1173</v>
      </c>
      <c r="X142" s="37">
        <v>0</v>
      </c>
      <c r="Y142" s="37">
        <v>0</v>
      </c>
      <c r="Z142" s="79">
        <v>0</v>
      </c>
      <c r="AA142" s="19">
        <f t="shared" si="24"/>
        <v>8319737.7000000011</v>
      </c>
    </row>
    <row r="143" spans="1:27" s="12" customFormat="1" ht="93.75" customHeight="1" x14ac:dyDescent="0.25">
      <c r="A143" s="17">
        <f>IF(OR(D143=0,D143=""),"",COUNTA($D$19:D143))</f>
        <v>114</v>
      </c>
      <c r="B143" s="17" t="s">
        <v>790</v>
      </c>
      <c r="C143" s="90" t="s">
        <v>90</v>
      </c>
      <c r="D143" s="43">
        <v>1964</v>
      </c>
      <c r="E143" s="16">
        <v>4074.8</v>
      </c>
      <c r="F143" s="16">
        <v>3069.1</v>
      </c>
      <c r="G143" s="16">
        <v>41.4</v>
      </c>
      <c r="H143" s="17" t="s">
        <v>257</v>
      </c>
      <c r="I143" s="15"/>
      <c r="J143" s="16">
        <f>232*E143</f>
        <v>945353.60000000009</v>
      </c>
      <c r="K143" s="16">
        <f>412*E143</f>
        <v>1678817.6</v>
      </c>
      <c r="L143" s="16"/>
      <c r="M143" s="16">
        <f>249*E143</f>
        <v>1014625.2000000001</v>
      </c>
      <c r="N143" s="16">
        <f>117*E143</f>
        <v>476751.60000000003</v>
      </c>
      <c r="O143" s="16"/>
      <c r="P143" s="16">
        <f t="shared" si="26"/>
        <v>8035505.6000000006</v>
      </c>
      <c r="Q143" s="16">
        <f>E143*113</f>
        <v>460452.4</v>
      </c>
      <c r="R143" s="16">
        <f>E143*1917</f>
        <v>7811391.6000000006</v>
      </c>
      <c r="S143" s="16">
        <f t="shared" ref="S143:S150" si="27">E143*90</f>
        <v>366732</v>
      </c>
      <c r="T143" s="16"/>
      <c r="U143" s="16"/>
      <c r="V143" s="19">
        <f t="shared" si="19"/>
        <v>20789629.600000001</v>
      </c>
      <c r="W143" s="20" t="s">
        <v>1173</v>
      </c>
      <c r="X143" s="37">
        <v>0</v>
      </c>
      <c r="Y143" s="37">
        <v>0</v>
      </c>
      <c r="Z143" s="79">
        <v>0</v>
      </c>
      <c r="AA143" s="19">
        <f t="shared" si="24"/>
        <v>20789629.600000001</v>
      </c>
    </row>
    <row r="144" spans="1:27" s="12" customFormat="1" ht="93.75" customHeight="1" x14ac:dyDescent="0.25">
      <c r="A144" s="17">
        <f>IF(OR(D144=0,D144=""),"",COUNTA($D$19:D144))</f>
        <v>115</v>
      </c>
      <c r="B144" s="17" t="s">
        <v>846</v>
      </c>
      <c r="C144" s="90" t="s">
        <v>127</v>
      </c>
      <c r="D144" s="43">
        <v>1964</v>
      </c>
      <c r="E144" s="16">
        <v>2594</v>
      </c>
      <c r="F144" s="16">
        <v>1826</v>
      </c>
      <c r="G144" s="16">
        <v>0</v>
      </c>
      <c r="H144" s="17" t="s">
        <v>257</v>
      </c>
      <c r="I144" s="15"/>
      <c r="J144" s="16"/>
      <c r="K144" s="16"/>
      <c r="L144" s="16"/>
      <c r="M144" s="16"/>
      <c r="N144" s="16"/>
      <c r="O144" s="16"/>
      <c r="P144" s="16">
        <f t="shared" si="26"/>
        <v>5115368</v>
      </c>
      <c r="Q144" s="16">
        <f>E144*113</f>
        <v>293122</v>
      </c>
      <c r="R144" s="16">
        <f>E144*1917</f>
        <v>4972698</v>
      </c>
      <c r="S144" s="16">
        <f t="shared" si="27"/>
        <v>233460</v>
      </c>
      <c r="T144" s="16"/>
      <c r="U144" s="16"/>
      <c r="V144" s="19">
        <f t="shared" si="19"/>
        <v>10614648</v>
      </c>
      <c r="W144" s="20" t="s">
        <v>1173</v>
      </c>
      <c r="X144" s="37">
        <v>0</v>
      </c>
      <c r="Y144" s="37">
        <v>0</v>
      </c>
      <c r="Z144" s="79">
        <v>0</v>
      </c>
      <c r="AA144" s="19">
        <f t="shared" si="24"/>
        <v>10614648</v>
      </c>
    </row>
    <row r="145" spans="1:27" s="12" customFormat="1" ht="93.75" customHeight="1" x14ac:dyDescent="0.25">
      <c r="A145" s="17">
        <f>IF(OR(D145=0,D145=""),"",COUNTA($D$19:D145))</f>
        <v>116</v>
      </c>
      <c r="B145" s="17" t="s">
        <v>849</v>
      </c>
      <c r="C145" s="90" t="s">
        <v>130</v>
      </c>
      <c r="D145" s="43">
        <v>1964</v>
      </c>
      <c r="E145" s="16">
        <v>2593</v>
      </c>
      <c r="F145" s="16">
        <v>1825</v>
      </c>
      <c r="G145" s="16">
        <v>0</v>
      </c>
      <c r="H145" s="17" t="s">
        <v>257</v>
      </c>
      <c r="I145" s="15"/>
      <c r="J145" s="16">
        <f>232*E145</f>
        <v>601576</v>
      </c>
      <c r="K145" s="16">
        <f>412*E145</f>
        <v>1068316</v>
      </c>
      <c r="L145" s="16"/>
      <c r="M145" s="16">
        <f>249*E145</f>
        <v>645657</v>
      </c>
      <c r="N145" s="16">
        <f>117*E145</f>
        <v>303381</v>
      </c>
      <c r="O145" s="16"/>
      <c r="P145" s="16">
        <f t="shared" si="26"/>
        <v>5113396</v>
      </c>
      <c r="Q145" s="16">
        <f>E145*113</f>
        <v>293009</v>
      </c>
      <c r="R145" s="16">
        <f>E145*1917</f>
        <v>4970781</v>
      </c>
      <c r="S145" s="16">
        <f t="shared" si="27"/>
        <v>233370</v>
      </c>
      <c r="T145" s="16"/>
      <c r="U145" s="16"/>
      <c r="V145" s="19">
        <f t="shared" si="19"/>
        <v>13229486</v>
      </c>
      <c r="W145" s="20" t="s">
        <v>1173</v>
      </c>
      <c r="X145" s="37">
        <v>0</v>
      </c>
      <c r="Y145" s="37">
        <v>0</v>
      </c>
      <c r="Z145" s="79">
        <v>0</v>
      </c>
      <c r="AA145" s="19">
        <f t="shared" si="24"/>
        <v>13229486</v>
      </c>
    </row>
    <row r="146" spans="1:27" s="12" customFormat="1" ht="93.75" customHeight="1" x14ac:dyDescent="0.25">
      <c r="A146" s="17">
        <f>IF(OR(D146=0,D146=""),"",COUNTA($D$19:D146))</f>
        <v>117</v>
      </c>
      <c r="B146" s="17" t="s">
        <v>883</v>
      </c>
      <c r="C146" s="90" t="s">
        <v>148</v>
      </c>
      <c r="D146" s="43">
        <v>1964</v>
      </c>
      <c r="E146" s="16">
        <v>3312.7</v>
      </c>
      <c r="F146" s="16">
        <v>1535.7</v>
      </c>
      <c r="G146" s="16">
        <v>912.7</v>
      </c>
      <c r="H146" s="17" t="s">
        <v>256</v>
      </c>
      <c r="I146" s="15"/>
      <c r="J146" s="16"/>
      <c r="K146" s="16"/>
      <c r="L146" s="16"/>
      <c r="M146" s="16"/>
      <c r="N146" s="16"/>
      <c r="O146" s="16"/>
      <c r="P146" s="16">
        <f t="shared" si="26"/>
        <v>6532644.3999999994</v>
      </c>
      <c r="Q146" s="16"/>
      <c r="R146" s="16">
        <f>1917*E146</f>
        <v>6350445.8999999994</v>
      </c>
      <c r="S146" s="16">
        <f t="shared" si="27"/>
        <v>298143</v>
      </c>
      <c r="T146" s="16"/>
      <c r="U146" s="16"/>
      <c r="V146" s="19">
        <f t="shared" si="19"/>
        <v>13181233.299999999</v>
      </c>
      <c r="W146" s="20" t="s">
        <v>1173</v>
      </c>
      <c r="X146" s="37">
        <v>0</v>
      </c>
      <c r="Y146" s="37">
        <v>0</v>
      </c>
      <c r="Z146" s="79">
        <v>0</v>
      </c>
      <c r="AA146" s="19">
        <f t="shared" si="24"/>
        <v>13181233.299999999</v>
      </c>
    </row>
    <row r="147" spans="1:27" s="12" customFormat="1" ht="93.75" customHeight="1" x14ac:dyDescent="0.25">
      <c r="A147" s="17">
        <f>IF(OR(D147=0,D147=""),"",COUNTA($D$19:D147))</f>
        <v>118</v>
      </c>
      <c r="B147" s="17" t="s">
        <v>885</v>
      </c>
      <c r="C147" s="90" t="s">
        <v>149</v>
      </c>
      <c r="D147" s="43">
        <v>1964</v>
      </c>
      <c r="E147" s="16">
        <v>2748.6</v>
      </c>
      <c r="F147" s="16">
        <v>2556.3000000000002</v>
      </c>
      <c r="G147" s="16">
        <v>192</v>
      </c>
      <c r="H147" s="17" t="s">
        <v>256</v>
      </c>
      <c r="I147" s="15"/>
      <c r="J147" s="16"/>
      <c r="K147" s="16"/>
      <c r="L147" s="16"/>
      <c r="M147" s="16"/>
      <c r="N147" s="16"/>
      <c r="O147" s="16"/>
      <c r="P147" s="16">
        <f t="shared" si="26"/>
        <v>5420239.2000000002</v>
      </c>
      <c r="Q147" s="16">
        <f>113*E147</f>
        <v>310591.8</v>
      </c>
      <c r="R147" s="16">
        <f>1917*E147</f>
        <v>5269066.2</v>
      </c>
      <c r="S147" s="16">
        <f t="shared" si="27"/>
        <v>247374</v>
      </c>
      <c r="T147" s="16"/>
      <c r="U147" s="16"/>
      <c r="V147" s="19">
        <f t="shared" si="19"/>
        <v>11247271.199999999</v>
      </c>
      <c r="W147" s="20" t="s">
        <v>1173</v>
      </c>
      <c r="X147" s="37">
        <v>0</v>
      </c>
      <c r="Y147" s="37">
        <v>0</v>
      </c>
      <c r="Z147" s="79">
        <v>0</v>
      </c>
      <c r="AA147" s="19">
        <f t="shared" si="24"/>
        <v>11247271.199999999</v>
      </c>
    </row>
    <row r="148" spans="1:27" s="12" customFormat="1" ht="93.75" customHeight="1" x14ac:dyDescent="0.25">
      <c r="A148" s="17">
        <f>IF(OR(D148=0,D148=""),"",COUNTA($D$19:D148))</f>
        <v>119</v>
      </c>
      <c r="B148" s="17" t="s">
        <v>888</v>
      </c>
      <c r="C148" s="90" t="s">
        <v>151</v>
      </c>
      <c r="D148" s="43">
        <v>1964</v>
      </c>
      <c r="E148" s="16">
        <v>1375.7</v>
      </c>
      <c r="F148" s="16">
        <v>1278.7</v>
      </c>
      <c r="G148" s="16">
        <v>97</v>
      </c>
      <c r="H148" s="17" t="s">
        <v>256</v>
      </c>
      <c r="I148" s="15"/>
      <c r="J148" s="16"/>
      <c r="K148" s="16"/>
      <c r="L148" s="16"/>
      <c r="M148" s="16"/>
      <c r="N148" s="16"/>
      <c r="O148" s="16"/>
      <c r="P148" s="16">
        <f t="shared" si="26"/>
        <v>2712880.4</v>
      </c>
      <c r="Q148" s="16">
        <f>113*E148</f>
        <v>155454.1</v>
      </c>
      <c r="R148" s="16">
        <f>1917*E148</f>
        <v>2637216.9</v>
      </c>
      <c r="S148" s="16">
        <f t="shared" si="27"/>
        <v>123813</v>
      </c>
      <c r="T148" s="16"/>
      <c r="U148" s="16"/>
      <c r="V148" s="19">
        <f t="shared" si="19"/>
        <v>5629364.4000000004</v>
      </c>
      <c r="W148" s="20" t="s">
        <v>1173</v>
      </c>
      <c r="X148" s="37">
        <v>0</v>
      </c>
      <c r="Y148" s="37">
        <v>0</v>
      </c>
      <c r="Z148" s="79">
        <v>0</v>
      </c>
      <c r="AA148" s="19">
        <f t="shared" si="24"/>
        <v>5629364.4000000004</v>
      </c>
    </row>
    <row r="149" spans="1:27" s="12" customFormat="1" ht="93.75" customHeight="1" x14ac:dyDescent="0.25">
      <c r="A149" s="17">
        <f>IF(OR(D149=0,D149=""),"",COUNTA($D$19:D149))</f>
        <v>120</v>
      </c>
      <c r="B149" s="17" t="s">
        <v>913</v>
      </c>
      <c r="C149" s="90" t="s">
        <v>165</v>
      </c>
      <c r="D149" s="43">
        <v>1964</v>
      </c>
      <c r="E149" s="16">
        <v>1380.58</v>
      </c>
      <c r="F149" s="16">
        <v>1380.58</v>
      </c>
      <c r="G149" s="16">
        <v>0</v>
      </c>
      <c r="H149" s="17" t="s">
        <v>256</v>
      </c>
      <c r="I149" s="15"/>
      <c r="J149" s="16"/>
      <c r="K149" s="16"/>
      <c r="L149" s="16"/>
      <c r="M149" s="16"/>
      <c r="N149" s="16"/>
      <c r="O149" s="16"/>
      <c r="P149" s="16">
        <f t="shared" si="26"/>
        <v>2722503.76</v>
      </c>
      <c r="Q149" s="16">
        <f>113*E149</f>
        <v>156005.53999999998</v>
      </c>
      <c r="R149" s="16">
        <f>1917*E149</f>
        <v>2646571.86</v>
      </c>
      <c r="S149" s="16">
        <f t="shared" si="27"/>
        <v>124252.2</v>
      </c>
      <c r="T149" s="16"/>
      <c r="U149" s="16"/>
      <c r="V149" s="19">
        <f t="shared" si="19"/>
        <v>5649333.3600000003</v>
      </c>
      <c r="W149" s="20" t="s">
        <v>1173</v>
      </c>
      <c r="X149" s="37">
        <v>0</v>
      </c>
      <c r="Y149" s="37">
        <v>0</v>
      </c>
      <c r="Z149" s="79">
        <v>0</v>
      </c>
      <c r="AA149" s="19">
        <f t="shared" si="24"/>
        <v>5649333.3600000003</v>
      </c>
    </row>
    <row r="150" spans="1:27" s="12" customFormat="1" ht="93.75" customHeight="1" x14ac:dyDescent="0.25">
      <c r="A150" s="17">
        <f>IF(OR(D150=0,D150=""),"",COUNTA($D$19:D150))</f>
        <v>121</v>
      </c>
      <c r="B150" s="17" t="s">
        <v>934</v>
      </c>
      <c r="C150" s="90" t="s">
        <v>172</v>
      </c>
      <c r="D150" s="43">
        <v>1964</v>
      </c>
      <c r="E150" s="16">
        <v>3205.1</v>
      </c>
      <c r="F150" s="16">
        <v>2477.6999999999998</v>
      </c>
      <c r="G150" s="16">
        <v>0</v>
      </c>
      <c r="H150" s="17" t="s">
        <v>257</v>
      </c>
      <c r="I150" s="15"/>
      <c r="J150" s="16"/>
      <c r="K150" s="16"/>
      <c r="L150" s="16"/>
      <c r="M150" s="16"/>
      <c r="N150" s="16"/>
      <c r="O150" s="16"/>
      <c r="P150" s="16">
        <f t="shared" si="26"/>
        <v>6320457.2000000002</v>
      </c>
      <c r="Q150" s="16">
        <f>E150*113</f>
        <v>362176.3</v>
      </c>
      <c r="R150" s="16">
        <f>E150*1917</f>
        <v>6144176.7000000002</v>
      </c>
      <c r="S150" s="16">
        <f t="shared" si="27"/>
        <v>288459</v>
      </c>
      <c r="T150" s="16"/>
      <c r="U150" s="16"/>
      <c r="V150" s="19">
        <f t="shared" si="19"/>
        <v>13115269.199999999</v>
      </c>
      <c r="W150" s="20" t="s">
        <v>1173</v>
      </c>
      <c r="X150" s="37">
        <v>0</v>
      </c>
      <c r="Y150" s="37">
        <v>0</v>
      </c>
      <c r="Z150" s="79">
        <v>0</v>
      </c>
      <c r="AA150" s="19">
        <f t="shared" si="24"/>
        <v>13115269.199999999</v>
      </c>
    </row>
    <row r="151" spans="1:27" s="12" customFormat="1" ht="93.75" customHeight="1" x14ac:dyDescent="0.25">
      <c r="A151" s="17">
        <f>IF(OR(D151=0,D151=""),"",COUNTA($D$19:D151))</f>
        <v>122</v>
      </c>
      <c r="B151" s="17" t="s">
        <v>959</v>
      </c>
      <c r="C151" s="90" t="s">
        <v>182</v>
      </c>
      <c r="D151" s="43">
        <v>1964</v>
      </c>
      <c r="E151" s="16">
        <v>4079.7</v>
      </c>
      <c r="F151" s="16">
        <v>2149.9</v>
      </c>
      <c r="G151" s="16">
        <v>506.17</v>
      </c>
      <c r="H151" s="17" t="s">
        <v>257</v>
      </c>
      <c r="I151" s="15"/>
      <c r="J151" s="16"/>
      <c r="K151" s="16"/>
      <c r="L151" s="16"/>
      <c r="M151" s="16">
        <f>249*E151</f>
        <v>1015845.2999999999</v>
      </c>
      <c r="N151" s="16">
        <f>117*E151</f>
        <v>477324.89999999997</v>
      </c>
      <c r="O151" s="16"/>
      <c r="P151" s="16">
        <f t="shared" si="26"/>
        <v>8045168.3999999994</v>
      </c>
      <c r="Q151" s="16">
        <f>E151*113</f>
        <v>461006.1</v>
      </c>
      <c r="R151" s="16">
        <f>E151*1917</f>
        <v>7820784.8999999994</v>
      </c>
      <c r="S151" s="16"/>
      <c r="T151" s="16"/>
      <c r="U151" s="16"/>
      <c r="V151" s="19">
        <f t="shared" si="19"/>
        <v>17820129.599999998</v>
      </c>
      <c r="W151" s="20" t="s">
        <v>1173</v>
      </c>
      <c r="X151" s="37">
        <v>0</v>
      </c>
      <c r="Y151" s="37">
        <v>0</v>
      </c>
      <c r="Z151" s="79">
        <v>0</v>
      </c>
      <c r="AA151" s="19">
        <f t="shared" si="24"/>
        <v>17820129.599999998</v>
      </c>
    </row>
    <row r="152" spans="1:27" s="12" customFormat="1" ht="93.75" customHeight="1" x14ac:dyDescent="0.25">
      <c r="A152" s="17">
        <f>IF(OR(D152=0,D152=""),"",COUNTA($D$19:D152))</f>
        <v>123</v>
      </c>
      <c r="B152" s="17" t="s">
        <v>858</v>
      </c>
      <c r="C152" s="90" t="s">
        <v>137</v>
      </c>
      <c r="D152" s="43">
        <v>1965</v>
      </c>
      <c r="E152" s="16">
        <v>7766.2</v>
      </c>
      <c r="F152" s="16">
        <v>2543.67</v>
      </c>
      <c r="G152" s="16">
        <v>2063</v>
      </c>
      <c r="H152" s="17" t="s">
        <v>256</v>
      </c>
      <c r="I152" s="15"/>
      <c r="J152" s="16"/>
      <c r="K152" s="16"/>
      <c r="L152" s="16"/>
      <c r="M152" s="16"/>
      <c r="N152" s="16"/>
      <c r="O152" s="16"/>
      <c r="P152" s="16">
        <f t="shared" si="26"/>
        <v>15314946.4</v>
      </c>
      <c r="Q152" s="16">
        <f>113*E152</f>
        <v>877580.6</v>
      </c>
      <c r="R152" s="16">
        <f>1917*E152</f>
        <v>14887805.4</v>
      </c>
      <c r="S152" s="16">
        <f>E152*90</f>
        <v>698958</v>
      </c>
      <c r="T152" s="16"/>
      <c r="U152" s="16"/>
      <c r="V152" s="19">
        <f t="shared" si="19"/>
        <v>31779290.399999999</v>
      </c>
      <c r="W152" s="20" t="s">
        <v>1173</v>
      </c>
      <c r="X152" s="37">
        <v>0</v>
      </c>
      <c r="Y152" s="37">
        <v>0</v>
      </c>
      <c r="Z152" s="79">
        <v>0</v>
      </c>
      <c r="AA152" s="19">
        <f t="shared" si="24"/>
        <v>31779290.399999999</v>
      </c>
    </row>
    <row r="153" spans="1:27" s="12" customFormat="1" ht="93.75" customHeight="1" x14ac:dyDescent="0.25">
      <c r="A153" s="17">
        <f>IF(OR(D153=0,D153=""),"",COUNTA($D$19:D153))</f>
        <v>124</v>
      </c>
      <c r="B153" s="17" t="s">
        <v>902</v>
      </c>
      <c r="C153" s="90" t="s">
        <v>158</v>
      </c>
      <c r="D153" s="43">
        <v>1965</v>
      </c>
      <c r="E153" s="16">
        <v>4294.7</v>
      </c>
      <c r="F153" s="16">
        <v>3165.7</v>
      </c>
      <c r="G153" s="16">
        <v>0</v>
      </c>
      <c r="H153" s="17" t="s">
        <v>257</v>
      </c>
      <c r="I153" s="15"/>
      <c r="J153" s="16"/>
      <c r="K153" s="16">
        <f>412*E153</f>
        <v>1769416.4</v>
      </c>
      <c r="L153" s="16"/>
      <c r="M153" s="16"/>
      <c r="N153" s="16"/>
      <c r="O153" s="16"/>
      <c r="P153" s="16">
        <f t="shared" si="26"/>
        <v>8469148.4000000004</v>
      </c>
      <c r="Q153" s="16"/>
      <c r="R153" s="16">
        <f>E153*1917</f>
        <v>8232939.8999999994</v>
      </c>
      <c r="S153" s="16"/>
      <c r="T153" s="16"/>
      <c r="U153" s="16"/>
      <c r="V153" s="19">
        <f t="shared" si="19"/>
        <v>18471504.699999999</v>
      </c>
      <c r="W153" s="20" t="s">
        <v>1173</v>
      </c>
      <c r="X153" s="37">
        <v>0</v>
      </c>
      <c r="Y153" s="37">
        <v>0</v>
      </c>
      <c r="Z153" s="79">
        <v>0</v>
      </c>
      <c r="AA153" s="19">
        <f t="shared" si="24"/>
        <v>18471504.699999999</v>
      </c>
    </row>
    <row r="154" spans="1:27" s="12" customFormat="1" ht="93.75" customHeight="1" x14ac:dyDescent="0.25">
      <c r="A154" s="17">
        <f>IF(OR(D154=0,D154=""),"",COUNTA($D$19:D154))</f>
        <v>125</v>
      </c>
      <c r="B154" s="17" t="s">
        <v>909</v>
      </c>
      <c r="C154" s="90" t="s">
        <v>162</v>
      </c>
      <c r="D154" s="43">
        <v>1965</v>
      </c>
      <c r="E154" s="16">
        <v>1805.5</v>
      </c>
      <c r="F154" s="16">
        <v>1276.9000000000001</v>
      </c>
      <c r="G154" s="16">
        <v>0</v>
      </c>
      <c r="H154" s="17" t="s">
        <v>256</v>
      </c>
      <c r="I154" s="15"/>
      <c r="J154" s="16">
        <f>232*E154</f>
        <v>418876</v>
      </c>
      <c r="K154" s="16"/>
      <c r="L154" s="16"/>
      <c r="M154" s="16"/>
      <c r="N154" s="16"/>
      <c r="O154" s="16"/>
      <c r="P154" s="16">
        <f t="shared" si="26"/>
        <v>3560446</v>
      </c>
      <c r="Q154" s="16">
        <f>113*E154</f>
        <v>204021.5</v>
      </c>
      <c r="R154" s="16">
        <f>1917*E154</f>
        <v>3461143.5</v>
      </c>
      <c r="S154" s="16">
        <f>E154*90</f>
        <v>162495</v>
      </c>
      <c r="T154" s="16"/>
      <c r="U154" s="16"/>
      <c r="V154" s="19">
        <f t="shared" si="19"/>
        <v>7806982</v>
      </c>
      <c r="W154" s="20" t="s">
        <v>1173</v>
      </c>
      <c r="X154" s="37">
        <v>0</v>
      </c>
      <c r="Y154" s="37">
        <v>0</v>
      </c>
      <c r="Z154" s="79">
        <v>0</v>
      </c>
      <c r="AA154" s="19">
        <f t="shared" si="24"/>
        <v>7806982</v>
      </c>
    </row>
    <row r="155" spans="1:27" s="12" customFormat="1" ht="93.75" customHeight="1" x14ac:dyDescent="0.25">
      <c r="A155" s="17">
        <f>IF(OR(D155=0,D155=""),"",COUNTA($D$19:D155))</f>
        <v>126</v>
      </c>
      <c r="B155" s="17" t="s">
        <v>1157</v>
      </c>
      <c r="C155" s="90" t="s">
        <v>173</v>
      </c>
      <c r="D155" s="43">
        <v>1965</v>
      </c>
      <c r="E155" s="16">
        <v>4705.6000000000004</v>
      </c>
      <c r="F155" s="16">
        <v>3389.6</v>
      </c>
      <c r="G155" s="16">
        <v>1075.2</v>
      </c>
      <c r="H155" s="17" t="s">
        <v>257</v>
      </c>
      <c r="I155" s="15"/>
      <c r="J155" s="16"/>
      <c r="K155" s="16"/>
      <c r="L155" s="16"/>
      <c r="M155" s="16"/>
      <c r="N155" s="16"/>
      <c r="O155" s="16"/>
      <c r="P155" s="16"/>
      <c r="Q155" s="16">
        <f>E155*113</f>
        <v>531732.80000000005</v>
      </c>
      <c r="R155" s="16"/>
      <c r="S155" s="16">
        <f>E155*90</f>
        <v>423504.00000000006</v>
      </c>
      <c r="T155" s="16"/>
      <c r="U155" s="15"/>
      <c r="V155" s="19">
        <f t="shared" si="19"/>
        <v>955236.8</v>
      </c>
      <c r="W155" s="20" t="s">
        <v>1173</v>
      </c>
      <c r="X155" s="37">
        <v>0</v>
      </c>
      <c r="Y155" s="37">
        <v>0</v>
      </c>
      <c r="Z155" s="79">
        <v>0</v>
      </c>
      <c r="AA155" s="19">
        <f t="shared" si="24"/>
        <v>955236.8</v>
      </c>
    </row>
    <row r="156" spans="1:27" s="12" customFormat="1" ht="93.75" customHeight="1" x14ac:dyDescent="0.25">
      <c r="A156" s="17">
        <f>IF(OR(D156=0,D156=""),"",COUNTA($D$19:D156))</f>
        <v>127</v>
      </c>
      <c r="B156" s="17" t="s">
        <v>981</v>
      </c>
      <c r="C156" s="90" t="s">
        <v>188</v>
      </c>
      <c r="D156" s="43">
        <v>1965</v>
      </c>
      <c r="E156" s="16">
        <v>3424.4</v>
      </c>
      <c r="F156" s="16">
        <v>2572.8000000000002</v>
      </c>
      <c r="G156" s="16">
        <v>721.8</v>
      </c>
      <c r="H156" s="17" t="s">
        <v>257</v>
      </c>
      <c r="I156" s="15"/>
      <c r="J156" s="16">
        <f>232*E156</f>
        <v>794460.8</v>
      </c>
      <c r="K156" s="16"/>
      <c r="L156" s="16"/>
      <c r="M156" s="16"/>
      <c r="N156" s="16"/>
      <c r="O156" s="16"/>
      <c r="P156" s="16">
        <f>1972*E156</f>
        <v>6752916.7999999998</v>
      </c>
      <c r="Q156" s="16"/>
      <c r="R156" s="16">
        <f>E156*1917</f>
        <v>6564574.7999999998</v>
      </c>
      <c r="S156" s="16"/>
      <c r="T156" s="16"/>
      <c r="U156" s="16"/>
      <c r="V156" s="19">
        <f t="shared" si="19"/>
        <v>14111952.399999999</v>
      </c>
      <c r="W156" s="20" t="s">
        <v>1173</v>
      </c>
      <c r="X156" s="37">
        <v>0</v>
      </c>
      <c r="Y156" s="37">
        <v>0</v>
      </c>
      <c r="Z156" s="79">
        <v>0</v>
      </c>
      <c r="AA156" s="19">
        <f t="shared" si="24"/>
        <v>14111952.399999999</v>
      </c>
    </row>
    <row r="157" spans="1:27" s="12" customFormat="1" ht="93.75" customHeight="1" x14ac:dyDescent="0.25">
      <c r="A157" s="17">
        <f>IF(OR(D157=0,D157=""),"",COUNTA($D$19:D157))</f>
        <v>128</v>
      </c>
      <c r="B157" s="17" t="s">
        <v>999</v>
      </c>
      <c r="C157" s="90" t="s">
        <v>193</v>
      </c>
      <c r="D157" s="43">
        <v>1965</v>
      </c>
      <c r="E157" s="16">
        <v>4656.7</v>
      </c>
      <c r="F157" s="16">
        <v>3544.1</v>
      </c>
      <c r="G157" s="16">
        <v>0</v>
      </c>
      <c r="H157" s="17" t="s">
        <v>257</v>
      </c>
      <c r="I157" s="15"/>
      <c r="J157" s="16">
        <f>232*E157</f>
        <v>1080354.3999999999</v>
      </c>
      <c r="K157" s="16">
        <f>412*E157</f>
        <v>1918560.4</v>
      </c>
      <c r="L157" s="16"/>
      <c r="M157" s="16">
        <f>249*E157</f>
        <v>1159518.3</v>
      </c>
      <c r="N157" s="16">
        <f>117*E157</f>
        <v>544833.9</v>
      </c>
      <c r="O157" s="16"/>
      <c r="P157" s="16">
        <f>1972*E157</f>
        <v>9183012.4000000004</v>
      </c>
      <c r="Q157" s="16">
        <f>E157*113</f>
        <v>526207.1</v>
      </c>
      <c r="R157" s="16">
        <f>E157*1917</f>
        <v>8926893.9000000004</v>
      </c>
      <c r="S157" s="16">
        <f>E157*90</f>
        <v>419103</v>
      </c>
      <c r="T157" s="16"/>
      <c r="U157" s="16"/>
      <c r="V157" s="19">
        <f t="shared" si="19"/>
        <v>23758483.399999999</v>
      </c>
      <c r="W157" s="20" t="s">
        <v>1173</v>
      </c>
      <c r="X157" s="37">
        <v>0</v>
      </c>
      <c r="Y157" s="37">
        <v>0</v>
      </c>
      <c r="Z157" s="79">
        <v>0</v>
      </c>
      <c r="AA157" s="19">
        <f t="shared" si="24"/>
        <v>23758483.399999999</v>
      </c>
    </row>
    <row r="158" spans="1:27" s="12" customFormat="1" ht="93.75" customHeight="1" x14ac:dyDescent="0.25">
      <c r="A158" s="17">
        <f>IF(OR(D158=0,D158=""),"",COUNTA($D$19:D158))</f>
        <v>129</v>
      </c>
      <c r="B158" s="17" t="s">
        <v>1001</v>
      </c>
      <c r="C158" s="90" t="s">
        <v>194</v>
      </c>
      <c r="D158" s="43">
        <v>1965</v>
      </c>
      <c r="E158" s="16">
        <v>3427</v>
      </c>
      <c r="F158" s="16">
        <v>2574.9</v>
      </c>
      <c r="G158" s="16">
        <v>0</v>
      </c>
      <c r="H158" s="17" t="s">
        <v>257</v>
      </c>
      <c r="I158" s="15"/>
      <c r="J158" s="16">
        <f>232*E158</f>
        <v>795064</v>
      </c>
      <c r="K158" s="16">
        <f>412*E158</f>
        <v>1411924</v>
      </c>
      <c r="L158" s="16"/>
      <c r="M158" s="16">
        <f>249*E158</f>
        <v>853323</v>
      </c>
      <c r="N158" s="16">
        <f>117*E158</f>
        <v>400959</v>
      </c>
      <c r="O158" s="16"/>
      <c r="P158" s="16"/>
      <c r="Q158" s="16">
        <f>E158*113</f>
        <v>387251</v>
      </c>
      <c r="R158" s="16"/>
      <c r="S158" s="16">
        <f>E158*90</f>
        <v>308430</v>
      </c>
      <c r="T158" s="16"/>
      <c r="U158" s="15"/>
      <c r="V158" s="19">
        <f t="shared" si="19"/>
        <v>4156951</v>
      </c>
      <c r="W158" s="20" t="s">
        <v>1173</v>
      </c>
      <c r="X158" s="37">
        <v>0</v>
      </c>
      <c r="Y158" s="37">
        <v>0</v>
      </c>
      <c r="Z158" s="79">
        <v>0</v>
      </c>
      <c r="AA158" s="19">
        <f t="shared" si="24"/>
        <v>4156951</v>
      </c>
    </row>
    <row r="159" spans="1:27" s="12" customFormat="1" ht="93.75" customHeight="1" x14ac:dyDescent="0.25">
      <c r="A159" s="17">
        <f>IF(OR(D159=0,D159=""),"",COUNTA($D$19:D159))</f>
        <v>130</v>
      </c>
      <c r="B159" s="17" t="s">
        <v>789</v>
      </c>
      <c r="C159" s="90" t="s">
        <v>89</v>
      </c>
      <c r="D159" s="43">
        <v>1966</v>
      </c>
      <c r="E159" s="16">
        <v>4072.6</v>
      </c>
      <c r="F159" s="16">
        <v>3035.9</v>
      </c>
      <c r="G159" s="16">
        <v>60</v>
      </c>
      <c r="H159" s="17" t="s">
        <v>257</v>
      </c>
      <c r="I159" s="15"/>
      <c r="J159" s="16"/>
      <c r="K159" s="16"/>
      <c r="L159" s="16"/>
      <c r="M159" s="16"/>
      <c r="N159" s="16"/>
      <c r="O159" s="16"/>
      <c r="P159" s="16">
        <f t="shared" ref="P159:P164" si="28">1972*E159</f>
        <v>8031167.2000000002</v>
      </c>
      <c r="Q159" s="16"/>
      <c r="R159" s="16">
        <f>E159*1917</f>
        <v>7807174.2000000002</v>
      </c>
      <c r="S159" s="16"/>
      <c r="T159" s="16"/>
      <c r="U159" s="16"/>
      <c r="V159" s="19">
        <f t="shared" si="19"/>
        <v>15838341.4</v>
      </c>
      <c r="W159" s="20" t="s">
        <v>1173</v>
      </c>
      <c r="X159" s="37">
        <v>0</v>
      </c>
      <c r="Y159" s="37">
        <v>0</v>
      </c>
      <c r="Z159" s="79">
        <v>0</v>
      </c>
      <c r="AA159" s="19">
        <f t="shared" si="24"/>
        <v>15838341.4</v>
      </c>
    </row>
    <row r="160" spans="1:27" s="12" customFormat="1" ht="93.75" customHeight="1" x14ac:dyDescent="0.25">
      <c r="A160" s="17">
        <f>IF(OR(D160=0,D160=""),"",COUNTA($D$19:D160))</f>
        <v>131</v>
      </c>
      <c r="B160" s="17" t="s">
        <v>792</v>
      </c>
      <c r="C160" s="90" t="s">
        <v>91</v>
      </c>
      <c r="D160" s="43">
        <v>1966</v>
      </c>
      <c r="E160" s="16">
        <v>4254.3999999999996</v>
      </c>
      <c r="F160" s="16">
        <v>2488.9</v>
      </c>
      <c r="G160" s="16">
        <v>543.5</v>
      </c>
      <c r="H160" s="17" t="s">
        <v>257</v>
      </c>
      <c r="I160" s="15"/>
      <c r="J160" s="16"/>
      <c r="K160" s="16"/>
      <c r="L160" s="16"/>
      <c r="M160" s="16"/>
      <c r="N160" s="16"/>
      <c r="O160" s="16"/>
      <c r="P160" s="16">
        <f t="shared" si="28"/>
        <v>8389676.7999999989</v>
      </c>
      <c r="Q160" s="16"/>
      <c r="R160" s="16"/>
      <c r="S160" s="16"/>
      <c r="T160" s="16"/>
      <c r="U160" s="16"/>
      <c r="V160" s="19">
        <f t="shared" si="19"/>
        <v>8389676.7999999989</v>
      </c>
      <c r="W160" s="20" t="s">
        <v>1173</v>
      </c>
      <c r="X160" s="37">
        <v>0</v>
      </c>
      <c r="Y160" s="37">
        <v>0</v>
      </c>
      <c r="Z160" s="79">
        <v>0</v>
      </c>
      <c r="AA160" s="19">
        <f t="shared" si="24"/>
        <v>8389676.7999999989</v>
      </c>
    </row>
    <row r="161" spans="1:27" s="12" customFormat="1" ht="93.75" customHeight="1" x14ac:dyDescent="0.25">
      <c r="A161" s="17">
        <f>IF(OR(D161=0,D161=""),"",COUNTA($D$19:D161))</f>
        <v>132</v>
      </c>
      <c r="B161" s="17" t="s">
        <v>848</v>
      </c>
      <c r="C161" s="90" t="s">
        <v>129</v>
      </c>
      <c r="D161" s="43">
        <v>1966</v>
      </c>
      <c r="E161" s="16">
        <v>3302.2</v>
      </c>
      <c r="F161" s="16">
        <v>2572.1999999999998</v>
      </c>
      <c r="G161" s="16">
        <v>730</v>
      </c>
      <c r="H161" s="17" t="s">
        <v>257</v>
      </c>
      <c r="I161" s="15"/>
      <c r="J161" s="16"/>
      <c r="K161" s="16"/>
      <c r="L161" s="16"/>
      <c r="M161" s="16"/>
      <c r="N161" s="16"/>
      <c r="O161" s="16"/>
      <c r="P161" s="16">
        <f t="shared" si="28"/>
        <v>6511938.3999999994</v>
      </c>
      <c r="Q161" s="16"/>
      <c r="R161" s="16"/>
      <c r="S161" s="16"/>
      <c r="T161" s="16"/>
      <c r="U161" s="16"/>
      <c r="V161" s="19">
        <f t="shared" si="19"/>
        <v>6511938.3999999994</v>
      </c>
      <c r="W161" s="20" t="s">
        <v>1173</v>
      </c>
      <c r="X161" s="37">
        <v>0</v>
      </c>
      <c r="Y161" s="37">
        <v>0</v>
      </c>
      <c r="Z161" s="79">
        <v>0</v>
      </c>
      <c r="AA161" s="19">
        <f t="shared" si="24"/>
        <v>6511938.3999999994</v>
      </c>
    </row>
    <row r="162" spans="1:27" s="12" customFormat="1" ht="93.75" customHeight="1" x14ac:dyDescent="0.25">
      <c r="A162" s="17">
        <f>IF(OR(D162=0,D162=""),"",COUNTA($D$19:D162))</f>
        <v>133</v>
      </c>
      <c r="B162" s="17" t="s">
        <v>709</v>
      </c>
      <c r="C162" s="90" t="s">
        <v>45</v>
      </c>
      <c r="D162" s="43">
        <v>1968</v>
      </c>
      <c r="E162" s="16">
        <v>5987.1</v>
      </c>
      <c r="F162" s="16">
        <v>4429.8999999999996</v>
      </c>
      <c r="G162" s="16">
        <v>0</v>
      </c>
      <c r="H162" s="17" t="s">
        <v>257</v>
      </c>
      <c r="I162" s="15"/>
      <c r="J162" s="16"/>
      <c r="K162" s="16"/>
      <c r="L162" s="16"/>
      <c r="M162" s="16"/>
      <c r="N162" s="16"/>
      <c r="O162" s="16"/>
      <c r="P162" s="16">
        <f t="shared" si="28"/>
        <v>11806561.200000001</v>
      </c>
      <c r="Q162" s="16"/>
      <c r="R162" s="16">
        <f t="shared" ref="R162:R170" si="29">E162*1917</f>
        <v>11477270.700000001</v>
      </c>
      <c r="S162" s="16"/>
      <c r="T162" s="16"/>
      <c r="U162" s="16"/>
      <c r="V162" s="19">
        <f t="shared" si="19"/>
        <v>23283831.900000002</v>
      </c>
      <c r="W162" s="20" t="s">
        <v>1173</v>
      </c>
      <c r="X162" s="37">
        <v>0</v>
      </c>
      <c r="Y162" s="37">
        <v>0</v>
      </c>
      <c r="Z162" s="79">
        <v>0</v>
      </c>
      <c r="AA162" s="19">
        <f t="shared" si="24"/>
        <v>23283831.900000002</v>
      </c>
    </row>
    <row r="163" spans="1:27" s="12" customFormat="1" ht="93.75" customHeight="1" x14ac:dyDescent="0.25">
      <c r="A163" s="17">
        <f>IF(OR(D163=0,D163=""),"",COUNTA($D$19:D163))</f>
        <v>134</v>
      </c>
      <c r="B163" s="17" t="s">
        <v>708</v>
      </c>
      <c r="C163" s="90" t="s">
        <v>44</v>
      </c>
      <c r="D163" s="43">
        <v>1967</v>
      </c>
      <c r="E163" s="16">
        <v>4716.1000000000004</v>
      </c>
      <c r="F163" s="16">
        <v>3556.9</v>
      </c>
      <c r="G163" s="16">
        <v>0</v>
      </c>
      <c r="H163" s="17" t="s">
        <v>257</v>
      </c>
      <c r="I163" s="15"/>
      <c r="J163" s="16"/>
      <c r="K163" s="16"/>
      <c r="L163" s="16"/>
      <c r="M163" s="16"/>
      <c r="N163" s="16"/>
      <c r="O163" s="16"/>
      <c r="P163" s="16">
        <f t="shared" si="28"/>
        <v>9300149.2000000011</v>
      </c>
      <c r="Q163" s="16"/>
      <c r="R163" s="16">
        <f t="shared" si="29"/>
        <v>9040763.7000000011</v>
      </c>
      <c r="S163" s="16"/>
      <c r="T163" s="16"/>
      <c r="U163" s="16"/>
      <c r="V163" s="19">
        <f t="shared" si="19"/>
        <v>18340912.900000002</v>
      </c>
      <c r="W163" s="20" t="s">
        <v>1173</v>
      </c>
      <c r="X163" s="37">
        <v>0</v>
      </c>
      <c r="Y163" s="37">
        <v>0</v>
      </c>
      <c r="Z163" s="79">
        <v>0</v>
      </c>
      <c r="AA163" s="19">
        <f t="shared" si="24"/>
        <v>18340912.900000002</v>
      </c>
    </row>
    <row r="164" spans="1:27" s="12" customFormat="1" ht="93.75" customHeight="1" x14ac:dyDescent="0.25">
      <c r="A164" s="17">
        <f>IF(OR(D164=0,D164=""),"",COUNTA($D$19:D164))</f>
        <v>135</v>
      </c>
      <c r="B164" s="17" t="s">
        <v>847</v>
      </c>
      <c r="C164" s="90" t="s">
        <v>128</v>
      </c>
      <c r="D164" s="43">
        <v>1967</v>
      </c>
      <c r="E164" s="16">
        <v>6045</v>
      </c>
      <c r="F164" s="16">
        <v>4433.3</v>
      </c>
      <c r="G164" s="16">
        <v>0</v>
      </c>
      <c r="H164" s="17" t="s">
        <v>257</v>
      </c>
      <c r="I164" s="15"/>
      <c r="J164" s="16"/>
      <c r="K164" s="16"/>
      <c r="L164" s="16"/>
      <c r="M164" s="16"/>
      <c r="N164" s="16"/>
      <c r="O164" s="16"/>
      <c r="P164" s="16">
        <f t="shared" si="28"/>
        <v>11920740</v>
      </c>
      <c r="Q164" s="16"/>
      <c r="R164" s="16">
        <f t="shared" si="29"/>
        <v>11588265</v>
      </c>
      <c r="S164" s="16"/>
      <c r="T164" s="16"/>
      <c r="U164" s="16"/>
      <c r="V164" s="19">
        <f t="shared" si="19"/>
        <v>23509005</v>
      </c>
      <c r="W164" s="20" t="s">
        <v>1173</v>
      </c>
      <c r="X164" s="37">
        <v>0</v>
      </c>
      <c r="Y164" s="37">
        <v>0</v>
      </c>
      <c r="Z164" s="79">
        <v>0</v>
      </c>
      <c r="AA164" s="19">
        <f t="shared" si="24"/>
        <v>23509005</v>
      </c>
    </row>
    <row r="165" spans="1:27" s="12" customFormat="1" ht="93.75" customHeight="1" x14ac:dyDescent="0.25">
      <c r="A165" s="17">
        <f>IF(OR(D165=0,D165=""),"",COUNTA($D$19:D165))</f>
        <v>136</v>
      </c>
      <c r="B165" s="17" t="s">
        <v>707</v>
      </c>
      <c r="C165" s="90" t="s">
        <v>43</v>
      </c>
      <c r="D165" s="43">
        <v>1969</v>
      </c>
      <c r="E165" s="16">
        <v>5937.59</v>
      </c>
      <c r="F165" s="16">
        <v>4419.59</v>
      </c>
      <c r="G165" s="16">
        <v>0</v>
      </c>
      <c r="H165" s="17" t="s">
        <v>257</v>
      </c>
      <c r="I165" s="15"/>
      <c r="J165" s="16"/>
      <c r="K165" s="16"/>
      <c r="L165" s="16"/>
      <c r="M165" s="16"/>
      <c r="N165" s="16"/>
      <c r="O165" s="16"/>
      <c r="P165" s="16"/>
      <c r="Q165" s="16"/>
      <c r="R165" s="16">
        <f t="shared" si="29"/>
        <v>11382360.030000001</v>
      </c>
      <c r="S165" s="16"/>
      <c r="T165" s="16"/>
      <c r="U165" s="16"/>
      <c r="V165" s="19">
        <f t="shared" si="19"/>
        <v>11382360.030000001</v>
      </c>
      <c r="W165" s="20" t="s">
        <v>1173</v>
      </c>
      <c r="X165" s="37">
        <v>0</v>
      </c>
      <c r="Y165" s="37">
        <v>0</v>
      </c>
      <c r="Z165" s="79">
        <v>0</v>
      </c>
      <c r="AA165" s="19">
        <f t="shared" si="24"/>
        <v>11382360.030000001</v>
      </c>
    </row>
    <row r="166" spans="1:27" s="12" customFormat="1" ht="93.75" customHeight="1" x14ac:dyDescent="0.25">
      <c r="A166" s="17">
        <f>IF(OR(D166=0,D166=""),"",COUNTA($D$19:D166))</f>
        <v>137</v>
      </c>
      <c r="B166" s="17" t="s">
        <v>1158</v>
      </c>
      <c r="C166" s="90" t="s">
        <v>54</v>
      </c>
      <c r="D166" s="43">
        <v>1970</v>
      </c>
      <c r="E166" s="16">
        <v>2250.9</v>
      </c>
      <c r="F166" s="16">
        <v>1510.7</v>
      </c>
      <c r="G166" s="16">
        <v>87.9</v>
      </c>
      <c r="H166" s="17" t="s">
        <v>257</v>
      </c>
      <c r="I166" s="15"/>
      <c r="J166" s="16"/>
      <c r="K166" s="16"/>
      <c r="L166" s="16"/>
      <c r="M166" s="16"/>
      <c r="N166" s="16"/>
      <c r="O166" s="16"/>
      <c r="P166" s="16">
        <f>1972*E166</f>
        <v>4438774.8</v>
      </c>
      <c r="Q166" s="16"/>
      <c r="R166" s="16">
        <f t="shared" si="29"/>
        <v>4314975.3</v>
      </c>
      <c r="S166" s="16"/>
      <c r="T166" s="16"/>
      <c r="U166" s="16"/>
      <c r="V166" s="19">
        <f t="shared" si="19"/>
        <v>8753750.0999999996</v>
      </c>
      <c r="W166" s="20" t="s">
        <v>1173</v>
      </c>
      <c r="X166" s="37">
        <v>0</v>
      </c>
      <c r="Y166" s="37">
        <v>0</v>
      </c>
      <c r="Z166" s="79">
        <v>0</v>
      </c>
      <c r="AA166" s="19">
        <f t="shared" si="24"/>
        <v>8753750.0999999996</v>
      </c>
    </row>
    <row r="167" spans="1:27" s="12" customFormat="1" ht="93.75" customHeight="1" x14ac:dyDescent="0.25">
      <c r="A167" s="17">
        <f>IF(OR(D167=0,D167=""),"",COUNTA($D$19:D167))</f>
        <v>138</v>
      </c>
      <c r="B167" s="17" t="s">
        <v>1159</v>
      </c>
      <c r="C167" s="90" t="s">
        <v>55</v>
      </c>
      <c r="D167" s="43">
        <v>1970</v>
      </c>
      <c r="E167" s="16">
        <v>2186.1999999999998</v>
      </c>
      <c r="F167" s="16">
        <v>1524</v>
      </c>
      <c r="G167" s="16">
        <v>662.2</v>
      </c>
      <c r="H167" s="17" t="s">
        <v>257</v>
      </c>
      <c r="I167" s="15"/>
      <c r="J167" s="16"/>
      <c r="K167" s="16"/>
      <c r="L167" s="16"/>
      <c r="M167" s="16"/>
      <c r="N167" s="16"/>
      <c r="O167" s="16"/>
      <c r="P167" s="16">
        <f>1972*E167</f>
        <v>4311186.3999999994</v>
      </c>
      <c r="Q167" s="16"/>
      <c r="R167" s="16">
        <f t="shared" si="29"/>
        <v>4190945.3999999994</v>
      </c>
      <c r="S167" s="16"/>
      <c r="T167" s="16"/>
      <c r="U167" s="16"/>
      <c r="V167" s="19">
        <f t="shared" si="19"/>
        <v>8502131.7999999989</v>
      </c>
      <c r="W167" s="20" t="s">
        <v>1173</v>
      </c>
      <c r="X167" s="37">
        <v>0</v>
      </c>
      <c r="Y167" s="37">
        <v>0</v>
      </c>
      <c r="Z167" s="79">
        <v>0</v>
      </c>
      <c r="AA167" s="19">
        <f t="shared" si="24"/>
        <v>8502131.7999999989</v>
      </c>
    </row>
    <row r="168" spans="1:27" s="12" customFormat="1" ht="93.75" customHeight="1" x14ac:dyDescent="0.25">
      <c r="A168" s="17">
        <f>IF(OR(D168=0,D168=""),"",COUNTA($D$19:D168))</f>
        <v>139</v>
      </c>
      <c r="B168" s="17" t="s">
        <v>1160</v>
      </c>
      <c r="C168" s="90" t="s">
        <v>56</v>
      </c>
      <c r="D168" s="43">
        <v>1970</v>
      </c>
      <c r="E168" s="16">
        <v>2102.6999999999998</v>
      </c>
      <c r="F168" s="16">
        <v>1462.4</v>
      </c>
      <c r="G168" s="16">
        <v>640.29999999999995</v>
      </c>
      <c r="H168" s="17" t="s">
        <v>257</v>
      </c>
      <c r="I168" s="15"/>
      <c r="J168" s="16"/>
      <c r="K168" s="16"/>
      <c r="L168" s="16"/>
      <c r="M168" s="16"/>
      <c r="N168" s="16"/>
      <c r="O168" s="16"/>
      <c r="P168" s="16">
        <f>1972*E168</f>
        <v>4146524.3999999994</v>
      </c>
      <c r="Q168" s="16"/>
      <c r="R168" s="16">
        <f t="shared" si="29"/>
        <v>4030875.8999999994</v>
      </c>
      <c r="S168" s="16"/>
      <c r="T168" s="16"/>
      <c r="U168" s="16"/>
      <c r="V168" s="19">
        <f t="shared" si="19"/>
        <v>8177400.2999999989</v>
      </c>
      <c r="W168" s="20" t="s">
        <v>1173</v>
      </c>
      <c r="X168" s="37">
        <v>0</v>
      </c>
      <c r="Y168" s="37">
        <v>0</v>
      </c>
      <c r="Z168" s="79">
        <v>0</v>
      </c>
      <c r="AA168" s="19">
        <f t="shared" si="24"/>
        <v>8177400.2999999989</v>
      </c>
    </row>
    <row r="169" spans="1:27" s="12" customFormat="1" ht="93.75" customHeight="1" x14ac:dyDescent="0.25">
      <c r="A169" s="17">
        <f>IF(OR(D169=0,D169=""),"",COUNTA($D$19:D169))</f>
        <v>140</v>
      </c>
      <c r="B169" s="85" t="s">
        <v>1147</v>
      </c>
      <c r="C169" s="90" t="s">
        <v>42</v>
      </c>
      <c r="D169" s="43">
        <v>1972</v>
      </c>
      <c r="E169" s="16">
        <v>5774.9</v>
      </c>
      <c r="F169" s="16">
        <v>4386.5</v>
      </c>
      <c r="G169" s="16">
        <v>0</v>
      </c>
      <c r="H169" s="17" t="s">
        <v>257</v>
      </c>
      <c r="I169" s="15"/>
      <c r="J169" s="16"/>
      <c r="K169" s="16"/>
      <c r="L169" s="16"/>
      <c r="M169" s="16"/>
      <c r="N169" s="16"/>
      <c r="O169" s="16"/>
      <c r="P169" s="16">
        <f>1972*E169</f>
        <v>11388102.799999999</v>
      </c>
      <c r="Q169" s="16"/>
      <c r="R169" s="16">
        <f t="shared" si="29"/>
        <v>11070483.299999999</v>
      </c>
      <c r="S169" s="16"/>
      <c r="T169" s="16"/>
      <c r="U169" s="16"/>
      <c r="V169" s="19">
        <f t="shared" si="19"/>
        <v>22458586.099999998</v>
      </c>
      <c r="W169" s="20" t="s">
        <v>1173</v>
      </c>
      <c r="X169" s="37">
        <v>0</v>
      </c>
      <c r="Y169" s="37">
        <v>0</v>
      </c>
      <c r="Z169" s="79">
        <v>0</v>
      </c>
      <c r="AA169" s="19">
        <f t="shared" si="24"/>
        <v>22458586.099999998</v>
      </c>
    </row>
    <row r="170" spans="1:27" s="12" customFormat="1" ht="93.75" customHeight="1" x14ac:dyDescent="0.25">
      <c r="A170" s="17">
        <f>IF(OR(D170=0,D170=""),"",COUNTA($D$19:D170))</f>
        <v>141</v>
      </c>
      <c r="B170" s="17" t="s">
        <v>1009</v>
      </c>
      <c r="C170" s="90" t="s">
        <v>200</v>
      </c>
      <c r="D170" s="43">
        <v>1975</v>
      </c>
      <c r="E170" s="16">
        <v>4319</v>
      </c>
      <c r="F170" s="16">
        <v>3354.9</v>
      </c>
      <c r="G170" s="16">
        <v>0</v>
      </c>
      <c r="H170" s="17" t="s">
        <v>257</v>
      </c>
      <c r="I170" s="15"/>
      <c r="J170" s="16"/>
      <c r="K170" s="16"/>
      <c r="L170" s="16"/>
      <c r="M170" s="16"/>
      <c r="N170" s="16"/>
      <c r="O170" s="16"/>
      <c r="P170" s="16"/>
      <c r="Q170" s="16"/>
      <c r="R170" s="16">
        <f t="shared" si="29"/>
        <v>8279523</v>
      </c>
      <c r="S170" s="16"/>
      <c r="T170" s="16"/>
      <c r="U170" s="16"/>
      <c r="V170" s="19">
        <f t="shared" si="19"/>
        <v>8279523</v>
      </c>
      <c r="W170" s="20" t="s">
        <v>1173</v>
      </c>
      <c r="X170" s="37">
        <v>0</v>
      </c>
      <c r="Y170" s="37">
        <v>0</v>
      </c>
      <c r="Z170" s="79">
        <v>0</v>
      </c>
      <c r="AA170" s="19">
        <f t="shared" si="24"/>
        <v>8279523</v>
      </c>
    </row>
    <row r="171" spans="1:27" s="12" customFormat="1" ht="93.75" customHeight="1" x14ac:dyDescent="0.25">
      <c r="A171" s="17">
        <f>IF(OR(D171=0,D171=""),"",COUNTA($D$19:D171))</f>
        <v>142</v>
      </c>
      <c r="B171" s="17" t="s">
        <v>972</v>
      </c>
      <c r="C171" s="90" t="s">
        <v>350</v>
      </c>
      <c r="D171" s="43">
        <v>1981</v>
      </c>
      <c r="E171" s="16">
        <v>27606</v>
      </c>
      <c r="F171" s="16">
        <v>21310.5</v>
      </c>
      <c r="G171" s="16">
        <v>0</v>
      </c>
      <c r="H171" s="17" t="s">
        <v>255</v>
      </c>
      <c r="I171" s="15"/>
      <c r="J171" s="16"/>
      <c r="K171" s="16"/>
      <c r="L171" s="16"/>
      <c r="M171" s="16"/>
      <c r="N171" s="16"/>
      <c r="O171" s="16"/>
      <c r="P171" s="16">
        <f>E171*346</f>
        <v>9551676</v>
      </c>
      <c r="Q171" s="16"/>
      <c r="R171" s="16"/>
      <c r="S171" s="16"/>
      <c r="T171" s="16"/>
      <c r="U171" s="16"/>
      <c r="V171" s="19">
        <f t="shared" si="19"/>
        <v>9551676</v>
      </c>
      <c r="W171" s="20" t="s">
        <v>1173</v>
      </c>
      <c r="X171" s="37">
        <v>0</v>
      </c>
      <c r="Y171" s="37">
        <v>0</v>
      </c>
      <c r="Z171" s="79">
        <v>0</v>
      </c>
      <c r="AA171" s="19">
        <f t="shared" si="24"/>
        <v>9551676</v>
      </c>
    </row>
    <row r="172" spans="1:27" s="12" customFormat="1" ht="93.75" customHeight="1" x14ac:dyDescent="0.25">
      <c r="A172" s="17">
        <f>IF(OR(D172=0,D172=""),"",COUNTA($D$19:D172))</f>
        <v>143</v>
      </c>
      <c r="B172" s="17" t="s">
        <v>956</v>
      </c>
      <c r="C172" s="90" t="s">
        <v>348</v>
      </c>
      <c r="D172" s="43">
        <v>1980</v>
      </c>
      <c r="E172" s="16">
        <v>13046</v>
      </c>
      <c r="F172" s="16">
        <v>9844.4</v>
      </c>
      <c r="G172" s="16">
        <v>257</v>
      </c>
      <c r="H172" s="17" t="s">
        <v>255</v>
      </c>
      <c r="I172" s="15"/>
      <c r="J172" s="16"/>
      <c r="K172" s="16">
        <f>553*E172</f>
        <v>7214438</v>
      </c>
      <c r="L172" s="16"/>
      <c r="M172" s="16"/>
      <c r="N172" s="16"/>
      <c r="O172" s="16"/>
      <c r="P172" s="16"/>
      <c r="Q172" s="16"/>
      <c r="R172" s="16">
        <f>1232*E172</f>
        <v>16072672</v>
      </c>
      <c r="S172" s="16"/>
      <c r="T172" s="16"/>
      <c r="U172" s="16"/>
      <c r="V172" s="19">
        <f t="shared" si="19"/>
        <v>23287110</v>
      </c>
      <c r="W172" s="20" t="s">
        <v>1173</v>
      </c>
      <c r="X172" s="37">
        <v>0</v>
      </c>
      <c r="Y172" s="37">
        <v>0</v>
      </c>
      <c r="Z172" s="79">
        <v>0</v>
      </c>
      <c r="AA172" s="19">
        <f t="shared" si="24"/>
        <v>23287110</v>
      </c>
    </row>
    <row r="173" spans="1:27" s="12" customFormat="1" ht="93.75" customHeight="1" x14ac:dyDescent="0.25">
      <c r="A173" s="17">
        <f>IF(OR(D173=0,D173=""),"",COUNTA($D$19:D173))</f>
        <v>144</v>
      </c>
      <c r="B173" s="17" t="s">
        <v>753</v>
      </c>
      <c r="C173" s="90" t="s">
        <v>69</v>
      </c>
      <c r="D173" s="43">
        <v>1965</v>
      </c>
      <c r="E173" s="16">
        <v>5053.8</v>
      </c>
      <c r="F173" s="16">
        <v>3133.8</v>
      </c>
      <c r="G173" s="16">
        <v>975.5</v>
      </c>
      <c r="H173" s="17" t="s">
        <v>257</v>
      </c>
      <c r="I173" s="15"/>
      <c r="J173" s="16"/>
      <c r="K173" s="16"/>
      <c r="L173" s="16"/>
      <c r="M173" s="16"/>
      <c r="N173" s="16"/>
      <c r="O173" s="16"/>
      <c r="P173" s="16"/>
      <c r="Q173" s="16">
        <f>E173*113</f>
        <v>571079.4</v>
      </c>
      <c r="R173" s="16"/>
      <c r="S173" s="16">
        <f>E173*90</f>
        <v>454842</v>
      </c>
      <c r="T173" s="16"/>
      <c r="U173" s="16"/>
      <c r="V173" s="19">
        <f t="shared" si="19"/>
        <v>1025921.4</v>
      </c>
      <c r="W173" s="20" t="s">
        <v>1173</v>
      </c>
      <c r="X173" s="37">
        <v>0</v>
      </c>
      <c r="Y173" s="37">
        <v>0</v>
      </c>
      <c r="Z173" s="79">
        <v>0</v>
      </c>
      <c r="AA173" s="19">
        <f t="shared" si="24"/>
        <v>1025921.4</v>
      </c>
    </row>
    <row r="174" spans="1:27" s="12" customFormat="1" ht="93.75" customHeight="1" x14ac:dyDescent="0.25">
      <c r="A174" s="17">
        <f>IF(OR(D174=0,D174=""),"",COUNTA($D$19:D174))</f>
        <v>145</v>
      </c>
      <c r="B174" s="17" t="s">
        <v>837</v>
      </c>
      <c r="C174" s="90" t="s">
        <v>119</v>
      </c>
      <c r="D174" s="43">
        <v>1972</v>
      </c>
      <c r="E174" s="16">
        <v>5787.7</v>
      </c>
      <c r="F174" s="16">
        <v>4415.8</v>
      </c>
      <c r="G174" s="16">
        <v>0</v>
      </c>
      <c r="H174" s="17" t="s">
        <v>257</v>
      </c>
      <c r="I174" s="15"/>
      <c r="J174" s="16"/>
      <c r="K174" s="16"/>
      <c r="L174" s="16"/>
      <c r="M174" s="16"/>
      <c r="N174" s="16"/>
      <c r="O174" s="16"/>
      <c r="P174" s="16">
        <f>1972*E174</f>
        <v>11413344.4</v>
      </c>
      <c r="Q174" s="16"/>
      <c r="R174" s="16">
        <f>E174*1917</f>
        <v>11095020.9</v>
      </c>
      <c r="S174" s="16"/>
      <c r="T174" s="16"/>
      <c r="U174" s="16"/>
      <c r="V174" s="19">
        <f t="shared" ref="V174:V219" si="30">J174+K174+L174+M174+N174+O174+P174+Q174+R174+S174+T174+U174</f>
        <v>22508365.300000001</v>
      </c>
      <c r="W174" s="20" t="s">
        <v>1173</v>
      </c>
      <c r="X174" s="37">
        <v>0</v>
      </c>
      <c r="Y174" s="37">
        <v>0</v>
      </c>
      <c r="Z174" s="79">
        <v>0</v>
      </c>
      <c r="AA174" s="19">
        <f t="shared" si="24"/>
        <v>22508365.300000001</v>
      </c>
    </row>
    <row r="175" spans="1:27" s="12" customFormat="1" ht="93.75" customHeight="1" x14ac:dyDescent="0.25">
      <c r="A175" s="17">
        <f>IF(OR(D175=0,D175=""),"",COUNTA($D$19:D175))</f>
        <v>146</v>
      </c>
      <c r="B175" s="17" t="s">
        <v>879</v>
      </c>
      <c r="C175" s="90" t="s">
        <v>345</v>
      </c>
      <c r="D175" s="43">
        <v>1976</v>
      </c>
      <c r="E175" s="16">
        <v>7863.2</v>
      </c>
      <c r="F175" s="16">
        <v>5994.6</v>
      </c>
      <c r="G175" s="16">
        <v>192.6</v>
      </c>
      <c r="H175" s="17" t="s">
        <v>257</v>
      </c>
      <c r="I175" s="15"/>
      <c r="J175" s="16">
        <f>232*E175</f>
        <v>1824262.4</v>
      </c>
      <c r="K175" s="16"/>
      <c r="L175" s="16"/>
      <c r="M175" s="16"/>
      <c r="N175" s="16"/>
      <c r="O175" s="16"/>
      <c r="P175" s="16">
        <f>1972*E175</f>
        <v>15506230.4</v>
      </c>
      <c r="Q175" s="16"/>
      <c r="R175" s="16"/>
      <c r="S175" s="16"/>
      <c r="T175" s="16"/>
      <c r="U175" s="16"/>
      <c r="V175" s="19">
        <f t="shared" si="30"/>
        <v>17330492.800000001</v>
      </c>
      <c r="W175" s="20" t="s">
        <v>1173</v>
      </c>
      <c r="X175" s="37">
        <v>0</v>
      </c>
      <c r="Y175" s="37">
        <v>0</v>
      </c>
      <c r="Z175" s="79">
        <v>0</v>
      </c>
      <c r="AA175" s="19">
        <f t="shared" si="24"/>
        <v>17330492.800000001</v>
      </c>
    </row>
    <row r="176" spans="1:27" s="12" customFormat="1" ht="93.75" customHeight="1" x14ac:dyDescent="0.25">
      <c r="A176" s="17">
        <f>IF(OR(D176=0,D176=""),"",COUNTA($D$19:D176))</f>
        <v>147</v>
      </c>
      <c r="B176" s="17" t="s">
        <v>967</v>
      </c>
      <c r="C176" s="90" t="s">
        <v>349</v>
      </c>
      <c r="D176" s="43">
        <v>1977</v>
      </c>
      <c r="E176" s="16">
        <v>4353.88</v>
      </c>
      <c r="F176" s="16">
        <v>2968.4</v>
      </c>
      <c r="G176" s="16">
        <v>0</v>
      </c>
      <c r="H176" s="17" t="s">
        <v>257</v>
      </c>
      <c r="I176" s="15"/>
      <c r="J176" s="16"/>
      <c r="K176" s="16"/>
      <c r="L176" s="16"/>
      <c r="M176" s="16"/>
      <c r="N176" s="16"/>
      <c r="O176" s="16"/>
      <c r="P176" s="16">
        <f>1972*E176</f>
        <v>8585851.3599999994</v>
      </c>
      <c r="Q176" s="16"/>
      <c r="R176" s="16"/>
      <c r="S176" s="16"/>
      <c r="T176" s="16"/>
      <c r="U176" s="16"/>
      <c r="V176" s="19">
        <f t="shared" si="30"/>
        <v>8585851.3599999994</v>
      </c>
      <c r="W176" s="20" t="s">
        <v>1173</v>
      </c>
      <c r="X176" s="37">
        <v>0</v>
      </c>
      <c r="Y176" s="37">
        <v>0</v>
      </c>
      <c r="Z176" s="79">
        <v>0</v>
      </c>
      <c r="AA176" s="19">
        <f t="shared" si="24"/>
        <v>8585851.3599999994</v>
      </c>
    </row>
    <row r="177" spans="1:27" s="12" customFormat="1" ht="93.75" customHeight="1" x14ac:dyDescent="0.25">
      <c r="A177" s="17">
        <f>IF(OR(D177=0,D177=""),"",COUNTA($D$19:D177))</f>
        <v>148</v>
      </c>
      <c r="B177" s="17" t="s">
        <v>986</v>
      </c>
      <c r="C177" s="90" t="s">
        <v>351</v>
      </c>
      <c r="D177" s="43">
        <v>1974</v>
      </c>
      <c r="E177" s="16">
        <v>5820.9</v>
      </c>
      <c r="F177" s="16">
        <v>4426.5</v>
      </c>
      <c r="G177" s="16">
        <v>0</v>
      </c>
      <c r="H177" s="17" t="s">
        <v>257</v>
      </c>
      <c r="I177" s="15"/>
      <c r="J177" s="16"/>
      <c r="K177" s="16"/>
      <c r="L177" s="16"/>
      <c r="M177" s="16"/>
      <c r="N177" s="16"/>
      <c r="O177" s="16"/>
      <c r="P177" s="16">
        <f>1972*E177</f>
        <v>11478814.799999999</v>
      </c>
      <c r="Q177" s="16"/>
      <c r="R177" s="16">
        <f>E177*1917</f>
        <v>11158665.299999999</v>
      </c>
      <c r="S177" s="16"/>
      <c r="T177" s="16"/>
      <c r="U177" s="16"/>
      <c r="V177" s="19">
        <f t="shared" si="30"/>
        <v>22637480.099999998</v>
      </c>
      <c r="W177" s="20" t="s">
        <v>1173</v>
      </c>
      <c r="X177" s="37">
        <v>0</v>
      </c>
      <c r="Y177" s="37">
        <v>0</v>
      </c>
      <c r="Z177" s="79">
        <v>0</v>
      </c>
      <c r="AA177" s="19">
        <f t="shared" si="24"/>
        <v>22637480.099999998</v>
      </c>
    </row>
    <row r="178" spans="1:27" s="12" customFormat="1" ht="93.75" customHeight="1" x14ac:dyDescent="0.25">
      <c r="A178" s="17">
        <f>IF(OR(D178=0,D178=""),"",COUNTA($D$19:D178))</f>
        <v>149</v>
      </c>
      <c r="B178" s="17" t="s">
        <v>714</v>
      </c>
      <c r="C178" s="90" t="s">
        <v>48</v>
      </c>
      <c r="D178" s="43">
        <v>1985</v>
      </c>
      <c r="E178" s="16">
        <v>14838.8</v>
      </c>
      <c r="F178" s="16">
        <v>11856</v>
      </c>
      <c r="G178" s="16">
        <v>0</v>
      </c>
      <c r="H178" s="17" t="s">
        <v>255</v>
      </c>
      <c r="I178" s="15">
        <v>5</v>
      </c>
      <c r="J178" s="16"/>
      <c r="K178" s="16"/>
      <c r="L178" s="16"/>
      <c r="M178" s="16"/>
      <c r="N178" s="16"/>
      <c r="O178" s="16">
        <f t="shared" ref="O178:O179" si="31">2150000*I178</f>
        <v>10750000</v>
      </c>
      <c r="P178" s="16"/>
      <c r="Q178" s="16"/>
      <c r="R178" s="16"/>
      <c r="S178" s="16"/>
      <c r="T178" s="16">
        <f>48*E178</f>
        <v>712262.39999999991</v>
      </c>
      <c r="U178" s="15"/>
      <c r="V178" s="19">
        <f t="shared" si="30"/>
        <v>11462262.4</v>
      </c>
      <c r="W178" s="20" t="s">
        <v>1173</v>
      </c>
      <c r="X178" s="37">
        <v>0</v>
      </c>
      <c r="Y178" s="37">
        <v>0</v>
      </c>
      <c r="Z178" s="79">
        <v>0</v>
      </c>
      <c r="AA178" s="19">
        <f t="shared" si="24"/>
        <v>11462262.4</v>
      </c>
    </row>
    <row r="179" spans="1:27" s="12" customFormat="1" ht="93.75" customHeight="1" x14ac:dyDescent="0.25">
      <c r="A179" s="17">
        <f>IF(OR(D179=0,D179=""),"",COUNTA($D$19:D179))</f>
        <v>150</v>
      </c>
      <c r="B179" s="17" t="s">
        <v>715</v>
      </c>
      <c r="C179" s="90" t="s">
        <v>49</v>
      </c>
      <c r="D179" s="43">
        <v>1987</v>
      </c>
      <c r="E179" s="16">
        <v>25060.5</v>
      </c>
      <c r="F179" s="16">
        <v>17546.53</v>
      </c>
      <c r="G179" s="16">
        <v>364.4</v>
      </c>
      <c r="H179" s="17" t="s">
        <v>255</v>
      </c>
      <c r="I179" s="15">
        <v>9</v>
      </c>
      <c r="J179" s="16"/>
      <c r="K179" s="16"/>
      <c r="L179" s="16"/>
      <c r="M179" s="16"/>
      <c r="N179" s="16"/>
      <c r="O179" s="16">
        <f t="shared" si="31"/>
        <v>19350000</v>
      </c>
      <c r="P179" s="16"/>
      <c r="Q179" s="16"/>
      <c r="R179" s="16"/>
      <c r="S179" s="16"/>
      <c r="T179" s="16">
        <f>48*E179</f>
        <v>1202904</v>
      </c>
      <c r="U179" s="15"/>
      <c r="V179" s="19">
        <f t="shared" si="30"/>
        <v>20552904</v>
      </c>
      <c r="W179" s="20" t="s">
        <v>1173</v>
      </c>
      <c r="X179" s="37">
        <v>0</v>
      </c>
      <c r="Y179" s="37">
        <v>0</v>
      </c>
      <c r="Z179" s="79">
        <v>0</v>
      </c>
      <c r="AA179" s="19">
        <f t="shared" si="24"/>
        <v>20552904</v>
      </c>
    </row>
    <row r="180" spans="1:27" s="12" customFormat="1" ht="93.75" customHeight="1" x14ac:dyDescent="0.25">
      <c r="A180" s="17">
        <f>IF(OR(D180=0,D180=""),"",COUNTA($D$19:D180))</f>
        <v>151</v>
      </c>
      <c r="B180" s="17" t="s">
        <v>716</v>
      </c>
      <c r="C180" s="90" t="s">
        <v>50</v>
      </c>
      <c r="D180" s="43">
        <v>1989</v>
      </c>
      <c r="E180" s="16">
        <v>4578.2</v>
      </c>
      <c r="F180" s="16">
        <v>3432.2</v>
      </c>
      <c r="G180" s="16">
        <v>0</v>
      </c>
      <c r="H180" s="17" t="s">
        <v>251</v>
      </c>
      <c r="I180" s="15">
        <v>2</v>
      </c>
      <c r="J180" s="16"/>
      <c r="K180" s="16"/>
      <c r="L180" s="16"/>
      <c r="M180" s="16"/>
      <c r="N180" s="16"/>
      <c r="O180" s="16">
        <v>4900000</v>
      </c>
      <c r="P180" s="16"/>
      <c r="Q180" s="16"/>
      <c r="R180" s="16"/>
      <c r="S180" s="16"/>
      <c r="T180" s="16">
        <f>E180*68</f>
        <v>311317.59999999998</v>
      </c>
      <c r="U180" s="15"/>
      <c r="V180" s="19">
        <f t="shared" si="30"/>
        <v>5211317.5999999996</v>
      </c>
      <c r="W180" s="20" t="s">
        <v>1173</v>
      </c>
      <c r="X180" s="37">
        <v>0</v>
      </c>
      <c r="Y180" s="37">
        <v>0</v>
      </c>
      <c r="Z180" s="79">
        <v>0</v>
      </c>
      <c r="AA180" s="19">
        <f t="shared" si="24"/>
        <v>5211317.5999999996</v>
      </c>
    </row>
    <row r="181" spans="1:27" s="12" customFormat="1" ht="93.75" customHeight="1" x14ac:dyDescent="0.25">
      <c r="A181" s="17">
        <f>IF(OR(D181=0,D181=""),"",COUNTA($D$19:D181))</f>
        <v>152</v>
      </c>
      <c r="B181" s="17" t="s">
        <v>721</v>
      </c>
      <c r="C181" s="90" t="s">
        <v>52</v>
      </c>
      <c r="D181" s="43">
        <v>1984</v>
      </c>
      <c r="E181" s="16">
        <v>5896.2</v>
      </c>
      <c r="F181" s="16">
        <v>4871.2</v>
      </c>
      <c r="G181" s="16">
        <v>14.6</v>
      </c>
      <c r="H181" s="17" t="s">
        <v>252</v>
      </c>
      <c r="I181" s="15">
        <v>2</v>
      </c>
      <c r="J181" s="16"/>
      <c r="K181" s="16"/>
      <c r="L181" s="16"/>
      <c r="M181" s="16"/>
      <c r="N181" s="16"/>
      <c r="O181" s="16">
        <v>4900000</v>
      </c>
      <c r="P181" s="16"/>
      <c r="Q181" s="16"/>
      <c r="R181" s="16"/>
      <c r="S181" s="16"/>
      <c r="T181" s="16">
        <f>E181*68</f>
        <v>400941.6</v>
      </c>
      <c r="U181" s="15"/>
      <c r="V181" s="19">
        <f t="shared" si="30"/>
        <v>5300941.5999999996</v>
      </c>
      <c r="W181" s="20" t="s">
        <v>1173</v>
      </c>
      <c r="X181" s="37">
        <v>0</v>
      </c>
      <c r="Y181" s="37">
        <v>0</v>
      </c>
      <c r="Z181" s="79">
        <v>0</v>
      </c>
      <c r="AA181" s="19">
        <f t="shared" si="24"/>
        <v>5300941.5999999996</v>
      </c>
    </row>
    <row r="182" spans="1:27" s="12" customFormat="1" ht="93.75" customHeight="1" x14ac:dyDescent="0.25">
      <c r="A182" s="17">
        <f>IF(OR(D182=0,D182=""),"",COUNTA($D$19:D182))</f>
        <v>153</v>
      </c>
      <c r="B182" s="17" t="s">
        <v>730</v>
      </c>
      <c r="C182" s="90" t="s">
        <v>59</v>
      </c>
      <c r="D182" s="43">
        <v>1987</v>
      </c>
      <c r="E182" s="16">
        <v>19123.400000000001</v>
      </c>
      <c r="F182" s="16">
        <v>13421.9</v>
      </c>
      <c r="G182" s="16">
        <v>30.7</v>
      </c>
      <c r="H182" s="17" t="s">
        <v>255</v>
      </c>
      <c r="I182" s="15">
        <v>7</v>
      </c>
      <c r="J182" s="16"/>
      <c r="K182" s="16"/>
      <c r="L182" s="16"/>
      <c r="M182" s="16"/>
      <c r="N182" s="16"/>
      <c r="O182" s="16">
        <f t="shared" ref="O182:O187" si="32">2150000*I182</f>
        <v>15050000</v>
      </c>
      <c r="P182" s="16"/>
      <c r="Q182" s="16"/>
      <c r="R182" s="16"/>
      <c r="S182" s="16"/>
      <c r="T182" s="16">
        <f t="shared" ref="T182:T188" si="33">48*E182</f>
        <v>917923.20000000007</v>
      </c>
      <c r="U182" s="15"/>
      <c r="V182" s="19">
        <f t="shared" si="30"/>
        <v>15967923.199999999</v>
      </c>
      <c r="W182" s="20" t="s">
        <v>1173</v>
      </c>
      <c r="X182" s="37">
        <v>0</v>
      </c>
      <c r="Y182" s="37">
        <v>0</v>
      </c>
      <c r="Z182" s="79">
        <v>0</v>
      </c>
      <c r="AA182" s="19">
        <f t="shared" si="24"/>
        <v>15967923.199999999</v>
      </c>
    </row>
    <row r="183" spans="1:27" s="12" customFormat="1" ht="93.75" customHeight="1" x14ac:dyDescent="0.25">
      <c r="A183" s="17">
        <f>IF(OR(D183=0,D183=""),"",COUNTA($D$19:D183))</f>
        <v>154</v>
      </c>
      <c r="B183" s="17" t="s">
        <v>731</v>
      </c>
      <c r="C183" s="90" t="s">
        <v>60</v>
      </c>
      <c r="D183" s="43">
        <v>1984</v>
      </c>
      <c r="E183" s="16">
        <v>12158.1</v>
      </c>
      <c r="F183" s="16">
        <v>9567.7999999999993</v>
      </c>
      <c r="G183" s="16">
        <v>60.8</v>
      </c>
      <c r="H183" s="17" t="s">
        <v>255</v>
      </c>
      <c r="I183" s="15">
        <v>5</v>
      </c>
      <c r="J183" s="16"/>
      <c r="K183" s="16"/>
      <c r="L183" s="16"/>
      <c r="M183" s="16"/>
      <c r="N183" s="16"/>
      <c r="O183" s="16">
        <f t="shared" si="32"/>
        <v>10750000</v>
      </c>
      <c r="P183" s="16"/>
      <c r="Q183" s="16"/>
      <c r="R183" s="16"/>
      <c r="S183" s="16"/>
      <c r="T183" s="16">
        <f t="shared" si="33"/>
        <v>583588.80000000005</v>
      </c>
      <c r="U183" s="15"/>
      <c r="V183" s="19">
        <f t="shared" si="30"/>
        <v>11333588.800000001</v>
      </c>
      <c r="W183" s="20" t="s">
        <v>1173</v>
      </c>
      <c r="X183" s="37">
        <v>0</v>
      </c>
      <c r="Y183" s="37">
        <v>0</v>
      </c>
      <c r="Z183" s="79">
        <v>0</v>
      </c>
      <c r="AA183" s="19">
        <f t="shared" ref="AA183:AA235" si="34">V183-(X183+Y183+Z183)</f>
        <v>11333588.800000001</v>
      </c>
    </row>
    <row r="184" spans="1:27" s="12" customFormat="1" ht="93.75" customHeight="1" x14ac:dyDescent="0.25">
      <c r="A184" s="17">
        <f>IF(OR(D184=0,D184=""),"",COUNTA($D$19:D184))</f>
        <v>155</v>
      </c>
      <c r="B184" s="17" t="s">
        <v>737</v>
      </c>
      <c r="C184" s="90" t="s">
        <v>64</v>
      </c>
      <c r="D184" s="43">
        <v>1985</v>
      </c>
      <c r="E184" s="16">
        <v>5513.4</v>
      </c>
      <c r="F184" s="16">
        <v>3791.4</v>
      </c>
      <c r="G184" s="16">
        <v>0</v>
      </c>
      <c r="H184" s="17" t="s">
        <v>255</v>
      </c>
      <c r="I184" s="15">
        <v>2</v>
      </c>
      <c r="J184" s="16"/>
      <c r="K184" s="16"/>
      <c r="L184" s="16"/>
      <c r="M184" s="16"/>
      <c r="N184" s="16"/>
      <c r="O184" s="16">
        <f t="shared" si="32"/>
        <v>4300000</v>
      </c>
      <c r="P184" s="16"/>
      <c r="Q184" s="16"/>
      <c r="R184" s="16"/>
      <c r="S184" s="16"/>
      <c r="T184" s="16">
        <f t="shared" si="33"/>
        <v>264643.19999999995</v>
      </c>
      <c r="U184" s="15"/>
      <c r="V184" s="19">
        <f t="shared" si="30"/>
        <v>4564643.2</v>
      </c>
      <c r="W184" s="20" t="s">
        <v>1173</v>
      </c>
      <c r="X184" s="37">
        <v>0</v>
      </c>
      <c r="Y184" s="37">
        <v>0</v>
      </c>
      <c r="Z184" s="79">
        <v>0</v>
      </c>
      <c r="AA184" s="19">
        <f t="shared" si="34"/>
        <v>4564643.2</v>
      </c>
    </row>
    <row r="185" spans="1:27" s="12" customFormat="1" ht="93.75" customHeight="1" x14ac:dyDescent="0.25">
      <c r="A185" s="17">
        <f>IF(OR(D185=0,D185=""),"",COUNTA($D$19:D185))</f>
        <v>156</v>
      </c>
      <c r="B185" s="17" t="s">
        <v>738</v>
      </c>
      <c r="C185" s="90" t="s">
        <v>65</v>
      </c>
      <c r="D185" s="15">
        <v>1991</v>
      </c>
      <c r="E185" s="16">
        <v>20009.3</v>
      </c>
      <c r="F185" s="16">
        <v>17043.400000000001</v>
      </c>
      <c r="G185" s="16">
        <v>0</v>
      </c>
      <c r="H185" s="17" t="s">
        <v>255</v>
      </c>
      <c r="I185" s="15">
        <v>9</v>
      </c>
      <c r="J185" s="16"/>
      <c r="K185" s="16"/>
      <c r="L185" s="16"/>
      <c r="M185" s="16"/>
      <c r="N185" s="16"/>
      <c r="O185" s="16">
        <f t="shared" si="32"/>
        <v>19350000</v>
      </c>
      <c r="P185" s="16">
        <f>E185*346</f>
        <v>6923217.7999999998</v>
      </c>
      <c r="Q185" s="16"/>
      <c r="R185" s="16"/>
      <c r="S185" s="16"/>
      <c r="T185" s="16">
        <f t="shared" si="33"/>
        <v>960446.39999999991</v>
      </c>
      <c r="U185" s="15"/>
      <c r="V185" s="19">
        <f t="shared" si="30"/>
        <v>27233664.199999999</v>
      </c>
      <c r="W185" s="20" t="s">
        <v>1173</v>
      </c>
      <c r="X185" s="37">
        <v>0</v>
      </c>
      <c r="Y185" s="37">
        <v>0</v>
      </c>
      <c r="Z185" s="79">
        <v>0</v>
      </c>
      <c r="AA185" s="19">
        <f t="shared" si="34"/>
        <v>27233664.199999999</v>
      </c>
    </row>
    <row r="186" spans="1:27" s="12" customFormat="1" ht="93.75" customHeight="1" x14ac:dyDescent="0.25">
      <c r="A186" s="17">
        <f>IF(OR(D186=0,D186=""),"",COUNTA($D$19:D186))</f>
        <v>157</v>
      </c>
      <c r="B186" s="17" t="s">
        <v>744</v>
      </c>
      <c r="C186" s="90" t="s">
        <v>605</v>
      </c>
      <c r="D186" s="43">
        <v>1984</v>
      </c>
      <c r="E186" s="16">
        <v>6178.09</v>
      </c>
      <c r="F186" s="16">
        <v>3872.49</v>
      </c>
      <c r="G186" s="16">
        <v>2305.6</v>
      </c>
      <c r="H186" s="17" t="s">
        <v>255</v>
      </c>
      <c r="I186" s="15">
        <v>2</v>
      </c>
      <c r="J186" s="16"/>
      <c r="K186" s="16"/>
      <c r="L186" s="16"/>
      <c r="M186" s="16"/>
      <c r="N186" s="16"/>
      <c r="O186" s="16">
        <f t="shared" si="32"/>
        <v>4300000</v>
      </c>
      <c r="P186" s="16"/>
      <c r="Q186" s="16"/>
      <c r="R186" s="16"/>
      <c r="S186" s="16"/>
      <c r="T186" s="16">
        <f t="shared" si="33"/>
        <v>296548.32</v>
      </c>
      <c r="U186" s="15"/>
      <c r="V186" s="19">
        <f t="shared" si="30"/>
        <v>4596548.32</v>
      </c>
      <c r="W186" s="20" t="s">
        <v>1173</v>
      </c>
      <c r="X186" s="37">
        <v>0</v>
      </c>
      <c r="Y186" s="37">
        <v>0</v>
      </c>
      <c r="Z186" s="79">
        <v>0</v>
      </c>
      <c r="AA186" s="19">
        <f t="shared" si="34"/>
        <v>4596548.32</v>
      </c>
    </row>
    <row r="187" spans="1:27" s="12" customFormat="1" ht="93.75" customHeight="1" x14ac:dyDescent="0.25">
      <c r="A187" s="17">
        <f>IF(OR(D187=0,D187=""),"",COUNTA($D$19:D187))</f>
        <v>158</v>
      </c>
      <c r="B187" s="17" t="s">
        <v>745</v>
      </c>
      <c r="C187" s="90" t="s">
        <v>606</v>
      </c>
      <c r="D187" s="43">
        <v>1986</v>
      </c>
      <c r="E187" s="16">
        <v>13622.8</v>
      </c>
      <c r="F187" s="16">
        <v>7485.7</v>
      </c>
      <c r="G187" s="16">
        <v>0</v>
      </c>
      <c r="H187" s="17" t="s">
        <v>255</v>
      </c>
      <c r="I187" s="15">
        <v>3</v>
      </c>
      <c r="J187" s="16"/>
      <c r="K187" s="16"/>
      <c r="L187" s="16"/>
      <c r="M187" s="16"/>
      <c r="N187" s="16"/>
      <c r="O187" s="16">
        <f t="shared" si="32"/>
        <v>6450000</v>
      </c>
      <c r="P187" s="16"/>
      <c r="Q187" s="16"/>
      <c r="R187" s="16"/>
      <c r="S187" s="16"/>
      <c r="T187" s="16">
        <f t="shared" si="33"/>
        <v>653894.39999999991</v>
      </c>
      <c r="U187" s="15"/>
      <c r="V187" s="19">
        <f t="shared" si="30"/>
        <v>7103894.4000000004</v>
      </c>
      <c r="W187" s="20" t="s">
        <v>1173</v>
      </c>
      <c r="X187" s="37">
        <v>0</v>
      </c>
      <c r="Y187" s="37">
        <v>0</v>
      </c>
      <c r="Z187" s="79">
        <v>0</v>
      </c>
      <c r="AA187" s="19">
        <f t="shared" si="34"/>
        <v>7103894.4000000004</v>
      </c>
    </row>
    <row r="188" spans="1:27" s="12" customFormat="1" ht="93.75" customHeight="1" x14ac:dyDescent="0.25">
      <c r="A188" s="17">
        <f>IF(OR(D188=0,D188=""),"",COUNTA($D$19:D188))</f>
        <v>159</v>
      </c>
      <c r="B188" s="17" t="s">
        <v>763</v>
      </c>
      <c r="C188" s="90" t="s">
        <v>75</v>
      </c>
      <c r="D188" s="43">
        <v>1987</v>
      </c>
      <c r="E188" s="16">
        <v>7515.3</v>
      </c>
      <c r="F188" s="16">
        <v>4675.0200000000004</v>
      </c>
      <c r="G188" s="16">
        <v>0</v>
      </c>
      <c r="H188" s="17" t="s">
        <v>255</v>
      </c>
      <c r="I188" s="15">
        <v>1</v>
      </c>
      <c r="J188" s="16"/>
      <c r="K188" s="16"/>
      <c r="L188" s="16"/>
      <c r="M188" s="16"/>
      <c r="N188" s="16"/>
      <c r="O188" s="16">
        <f t="shared" ref="O188" si="35">2150000*I188</f>
        <v>2150000</v>
      </c>
      <c r="P188" s="16"/>
      <c r="Q188" s="16"/>
      <c r="R188" s="16"/>
      <c r="S188" s="16"/>
      <c r="T188" s="16">
        <f t="shared" si="33"/>
        <v>360734.4</v>
      </c>
      <c r="U188" s="15"/>
      <c r="V188" s="19">
        <f t="shared" si="30"/>
        <v>2510734.4</v>
      </c>
      <c r="W188" s="20" t="s">
        <v>1173</v>
      </c>
      <c r="X188" s="37">
        <v>0</v>
      </c>
      <c r="Y188" s="37">
        <v>0</v>
      </c>
      <c r="Z188" s="79">
        <v>0</v>
      </c>
      <c r="AA188" s="19">
        <f t="shared" si="34"/>
        <v>2510734.4</v>
      </c>
    </row>
    <row r="189" spans="1:27" s="12" customFormat="1" ht="93.75" customHeight="1" x14ac:dyDescent="0.25">
      <c r="A189" s="17">
        <f>IF(OR(D189=0,D189=""),"",COUNTA($D$19:D189))</f>
        <v>160</v>
      </c>
      <c r="B189" s="17" t="s">
        <v>766</v>
      </c>
      <c r="C189" s="90" t="s">
        <v>76</v>
      </c>
      <c r="D189" s="43">
        <v>1988</v>
      </c>
      <c r="E189" s="16">
        <v>5999.4</v>
      </c>
      <c r="F189" s="16">
        <v>4726.8999999999996</v>
      </c>
      <c r="G189" s="16">
        <v>1272.5</v>
      </c>
      <c r="H189" s="17" t="s">
        <v>252</v>
      </c>
      <c r="I189" s="15">
        <v>2</v>
      </c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>
        <f>E189*68</f>
        <v>407959.19999999995</v>
      </c>
      <c r="U189" s="16"/>
      <c r="V189" s="19">
        <f t="shared" si="30"/>
        <v>407959.19999999995</v>
      </c>
      <c r="W189" s="20" t="s">
        <v>1173</v>
      </c>
      <c r="X189" s="37">
        <v>0</v>
      </c>
      <c r="Y189" s="37">
        <v>0</v>
      </c>
      <c r="Z189" s="79">
        <v>0</v>
      </c>
      <c r="AA189" s="19">
        <f t="shared" si="34"/>
        <v>407959.19999999995</v>
      </c>
    </row>
    <row r="190" spans="1:27" s="12" customFormat="1" ht="93.75" customHeight="1" x14ac:dyDescent="0.25">
      <c r="A190" s="17">
        <f>IF(OR(D190=0,D190=""),"",COUNTA($D$19:D190))</f>
        <v>161</v>
      </c>
      <c r="B190" s="17" t="s">
        <v>772</v>
      </c>
      <c r="C190" s="90" t="s">
        <v>81</v>
      </c>
      <c r="D190" s="43">
        <v>1987</v>
      </c>
      <c r="E190" s="16">
        <v>5691.2</v>
      </c>
      <c r="F190" s="16">
        <v>3821.6</v>
      </c>
      <c r="G190" s="16">
        <v>0</v>
      </c>
      <c r="H190" s="17" t="s">
        <v>255</v>
      </c>
      <c r="I190" s="15">
        <v>2</v>
      </c>
      <c r="J190" s="16"/>
      <c r="K190" s="16"/>
      <c r="L190" s="16"/>
      <c r="M190" s="16"/>
      <c r="N190" s="16"/>
      <c r="O190" s="16">
        <f t="shared" ref="O190:O193" si="36">2150000*I190</f>
        <v>4300000</v>
      </c>
      <c r="P190" s="16"/>
      <c r="Q190" s="16"/>
      <c r="R190" s="16"/>
      <c r="S190" s="16"/>
      <c r="T190" s="16">
        <f>48*E190</f>
        <v>273177.59999999998</v>
      </c>
      <c r="U190" s="15"/>
      <c r="V190" s="19">
        <f t="shared" si="30"/>
        <v>4573177.5999999996</v>
      </c>
      <c r="W190" s="20" t="s">
        <v>1173</v>
      </c>
      <c r="X190" s="37">
        <v>0</v>
      </c>
      <c r="Y190" s="37">
        <v>0</v>
      </c>
      <c r="Z190" s="79">
        <v>0</v>
      </c>
      <c r="AA190" s="19">
        <f t="shared" si="34"/>
        <v>4573177.5999999996</v>
      </c>
    </row>
    <row r="191" spans="1:27" s="12" customFormat="1" ht="93.75" customHeight="1" x14ac:dyDescent="0.25">
      <c r="A191" s="17">
        <f>IF(OR(D191=0,D191=""),"",COUNTA($D$19:D191))</f>
        <v>162</v>
      </c>
      <c r="B191" s="17" t="s">
        <v>834</v>
      </c>
      <c r="C191" s="90" t="s">
        <v>117</v>
      </c>
      <c r="D191" s="43">
        <v>1984</v>
      </c>
      <c r="E191" s="16">
        <v>7766.4</v>
      </c>
      <c r="F191" s="16">
        <v>5166.3</v>
      </c>
      <c r="G191" s="16">
        <v>1061.0999999999999</v>
      </c>
      <c r="H191" s="17" t="s">
        <v>255</v>
      </c>
      <c r="I191" s="15">
        <v>2</v>
      </c>
      <c r="J191" s="16"/>
      <c r="K191" s="16"/>
      <c r="L191" s="16"/>
      <c r="M191" s="16"/>
      <c r="N191" s="16"/>
      <c r="O191" s="16">
        <f t="shared" si="36"/>
        <v>4300000</v>
      </c>
      <c r="P191" s="16"/>
      <c r="Q191" s="16"/>
      <c r="R191" s="16"/>
      <c r="S191" s="16"/>
      <c r="T191" s="16">
        <f>48*E191</f>
        <v>372787.19999999995</v>
      </c>
      <c r="U191" s="15"/>
      <c r="V191" s="19">
        <f t="shared" si="30"/>
        <v>4672787.2</v>
      </c>
      <c r="W191" s="20" t="s">
        <v>1173</v>
      </c>
      <c r="X191" s="37">
        <v>0</v>
      </c>
      <c r="Y191" s="37">
        <v>0</v>
      </c>
      <c r="Z191" s="79">
        <v>0</v>
      </c>
      <c r="AA191" s="19">
        <f t="shared" si="34"/>
        <v>4672787.2</v>
      </c>
    </row>
    <row r="192" spans="1:27" s="12" customFormat="1" ht="93.75" customHeight="1" x14ac:dyDescent="0.25">
      <c r="A192" s="17">
        <f>IF(OR(D192=0,D192=""),"",COUNTA($D$19:D192))</f>
        <v>163</v>
      </c>
      <c r="B192" s="17" t="s">
        <v>868</v>
      </c>
      <c r="C192" s="90" t="s">
        <v>141</v>
      </c>
      <c r="D192" s="43">
        <v>1967</v>
      </c>
      <c r="E192" s="16">
        <v>3082.4</v>
      </c>
      <c r="F192" s="16">
        <v>2076.5</v>
      </c>
      <c r="G192" s="16">
        <v>664.4</v>
      </c>
      <c r="H192" s="17" t="s">
        <v>255</v>
      </c>
      <c r="I192" s="15">
        <v>1</v>
      </c>
      <c r="J192" s="16">
        <f>E192*551</f>
        <v>1698402.4000000001</v>
      </c>
      <c r="K192" s="16">
        <f>E192*553</f>
        <v>1704567.2</v>
      </c>
      <c r="L192" s="16"/>
      <c r="M192" s="16"/>
      <c r="N192" s="16"/>
      <c r="O192" s="16"/>
      <c r="P192" s="16">
        <f>E192*346</f>
        <v>1066510.4000000001</v>
      </c>
      <c r="Q192" s="16"/>
      <c r="R192" s="16">
        <f>E192*1232</f>
        <v>3797516.8000000003</v>
      </c>
      <c r="S192" s="16">
        <f>E192*71</f>
        <v>218850.4</v>
      </c>
      <c r="T192" s="16"/>
      <c r="U192" s="16"/>
      <c r="V192" s="19">
        <f t="shared" si="30"/>
        <v>8485847.2000000011</v>
      </c>
      <c r="W192" s="20" t="s">
        <v>1173</v>
      </c>
      <c r="X192" s="37">
        <v>0</v>
      </c>
      <c r="Y192" s="37">
        <v>0</v>
      </c>
      <c r="Z192" s="79">
        <v>0</v>
      </c>
      <c r="AA192" s="19">
        <f t="shared" si="34"/>
        <v>8485847.2000000011</v>
      </c>
    </row>
    <row r="193" spans="1:27" s="12" customFormat="1" ht="93.75" customHeight="1" x14ac:dyDescent="0.25">
      <c r="A193" s="17">
        <f>IF(OR(D193=0,D193=""),"",COUNTA($D$19:D193))</f>
        <v>164</v>
      </c>
      <c r="B193" s="17" t="s">
        <v>870</v>
      </c>
      <c r="C193" s="90" t="s">
        <v>142</v>
      </c>
      <c r="D193" s="43">
        <v>1968</v>
      </c>
      <c r="E193" s="16">
        <v>8981.7999999999993</v>
      </c>
      <c r="F193" s="16">
        <v>6217.8</v>
      </c>
      <c r="G193" s="16">
        <v>1919.7</v>
      </c>
      <c r="H193" s="17" t="s">
        <v>255</v>
      </c>
      <c r="I193" s="15">
        <v>3</v>
      </c>
      <c r="J193" s="16"/>
      <c r="K193" s="16"/>
      <c r="L193" s="16"/>
      <c r="M193" s="16"/>
      <c r="N193" s="16"/>
      <c r="O193" s="16">
        <f t="shared" si="36"/>
        <v>6450000</v>
      </c>
      <c r="P193" s="16"/>
      <c r="Q193" s="16"/>
      <c r="R193" s="16"/>
      <c r="S193" s="16"/>
      <c r="T193" s="16">
        <f>48*E193</f>
        <v>431126.39999999997</v>
      </c>
      <c r="U193" s="15"/>
      <c r="V193" s="19">
        <f t="shared" si="30"/>
        <v>6881126.4000000004</v>
      </c>
      <c r="W193" s="20" t="s">
        <v>1173</v>
      </c>
      <c r="X193" s="37">
        <v>0</v>
      </c>
      <c r="Y193" s="37">
        <v>0</v>
      </c>
      <c r="Z193" s="79">
        <v>0</v>
      </c>
      <c r="AA193" s="19">
        <f t="shared" si="34"/>
        <v>6881126.4000000004</v>
      </c>
    </row>
    <row r="194" spans="1:27" s="12" customFormat="1" ht="93.75" customHeight="1" x14ac:dyDescent="0.25">
      <c r="A194" s="17">
        <f>IF(OR(D194=0,D194=""),"",COUNTA($D$19:D194))</f>
        <v>165</v>
      </c>
      <c r="B194" s="17" t="s">
        <v>872</v>
      </c>
      <c r="C194" s="90" t="s">
        <v>144</v>
      </c>
      <c r="D194" s="43">
        <v>1968</v>
      </c>
      <c r="E194" s="16">
        <v>3750.2</v>
      </c>
      <c r="F194" s="16">
        <v>2098.5</v>
      </c>
      <c r="G194" s="16">
        <v>1329</v>
      </c>
      <c r="H194" s="17" t="s">
        <v>255</v>
      </c>
      <c r="I194" s="15">
        <v>1</v>
      </c>
      <c r="J194" s="16"/>
      <c r="K194" s="16"/>
      <c r="L194" s="16"/>
      <c r="M194" s="16"/>
      <c r="N194" s="16"/>
      <c r="O194" s="16"/>
      <c r="P194" s="16"/>
      <c r="Q194" s="16"/>
      <c r="R194" s="16">
        <f>E194*1232</f>
        <v>4620246.3999999994</v>
      </c>
      <c r="S194" s="16"/>
      <c r="T194" s="16"/>
      <c r="U194" s="16"/>
      <c r="V194" s="19">
        <f t="shared" si="30"/>
        <v>4620246.3999999994</v>
      </c>
      <c r="W194" s="20" t="s">
        <v>1173</v>
      </c>
      <c r="X194" s="37">
        <v>0</v>
      </c>
      <c r="Y194" s="37">
        <v>0</v>
      </c>
      <c r="Z194" s="79">
        <v>0</v>
      </c>
      <c r="AA194" s="19">
        <f t="shared" si="34"/>
        <v>4620246.3999999994</v>
      </c>
    </row>
    <row r="195" spans="1:27" s="12" customFormat="1" ht="93.75" customHeight="1" x14ac:dyDescent="0.25">
      <c r="A195" s="17">
        <f>IF(OR(D195=0,D195=""),"",COUNTA($D$19:D195))</f>
        <v>166</v>
      </c>
      <c r="B195" s="17" t="s">
        <v>875</v>
      </c>
      <c r="C195" s="90" t="s">
        <v>146</v>
      </c>
      <c r="D195" s="43">
        <v>1988</v>
      </c>
      <c r="E195" s="16">
        <v>8111.9</v>
      </c>
      <c r="F195" s="16">
        <v>5066.5</v>
      </c>
      <c r="G195" s="16">
        <v>1477.9</v>
      </c>
      <c r="H195" s="17" t="s">
        <v>253</v>
      </c>
      <c r="I195" s="15">
        <v>2</v>
      </c>
      <c r="J195" s="16"/>
      <c r="K195" s="16"/>
      <c r="L195" s="16"/>
      <c r="M195" s="16"/>
      <c r="N195" s="16"/>
      <c r="O195" s="16">
        <v>4900000</v>
      </c>
      <c r="P195" s="16"/>
      <c r="Q195" s="16"/>
      <c r="R195" s="16"/>
      <c r="S195" s="16"/>
      <c r="T195" s="16">
        <f>E195*68</f>
        <v>551609.19999999995</v>
      </c>
      <c r="U195" s="15"/>
      <c r="V195" s="19">
        <f t="shared" si="30"/>
        <v>5451609.2000000002</v>
      </c>
      <c r="W195" s="20" t="s">
        <v>1173</v>
      </c>
      <c r="X195" s="37">
        <v>0</v>
      </c>
      <c r="Y195" s="37">
        <v>0</v>
      </c>
      <c r="Z195" s="79">
        <v>0</v>
      </c>
      <c r="AA195" s="19">
        <f t="shared" si="34"/>
        <v>5451609.2000000002</v>
      </c>
    </row>
    <row r="196" spans="1:27" s="12" customFormat="1" ht="93.75" customHeight="1" x14ac:dyDescent="0.25">
      <c r="A196" s="17">
        <f>IF(OR(D196=0,D196=""),"",COUNTA($D$19:D196))</f>
        <v>167</v>
      </c>
      <c r="B196" s="17" t="s">
        <v>898</v>
      </c>
      <c r="C196" s="90" t="s">
        <v>157</v>
      </c>
      <c r="D196" s="43">
        <v>1986</v>
      </c>
      <c r="E196" s="16">
        <v>8446.5</v>
      </c>
      <c r="F196" s="16">
        <v>5764.7</v>
      </c>
      <c r="G196" s="16">
        <v>201</v>
      </c>
      <c r="H196" s="17" t="s">
        <v>255</v>
      </c>
      <c r="I196" s="15">
        <v>3</v>
      </c>
      <c r="J196" s="16"/>
      <c r="K196" s="16"/>
      <c r="L196" s="16"/>
      <c r="M196" s="16"/>
      <c r="N196" s="16"/>
      <c r="O196" s="16">
        <f t="shared" ref="O196:O199" si="37">2150000*I196</f>
        <v>6450000</v>
      </c>
      <c r="P196" s="16"/>
      <c r="Q196" s="16"/>
      <c r="R196" s="16"/>
      <c r="S196" s="16"/>
      <c r="T196" s="16">
        <f>48*E196</f>
        <v>405432</v>
      </c>
      <c r="U196" s="15"/>
      <c r="V196" s="19">
        <f t="shared" si="30"/>
        <v>6855432</v>
      </c>
      <c r="W196" s="20" t="s">
        <v>1173</v>
      </c>
      <c r="X196" s="37">
        <v>0</v>
      </c>
      <c r="Y196" s="37">
        <v>0</v>
      </c>
      <c r="Z196" s="79">
        <v>0</v>
      </c>
      <c r="AA196" s="19">
        <f t="shared" si="34"/>
        <v>6855432</v>
      </c>
    </row>
    <row r="197" spans="1:27" s="12" customFormat="1" ht="93.75" customHeight="1" x14ac:dyDescent="0.25">
      <c r="A197" s="17">
        <f>IF(OR(D197=0,D197=""),"",COUNTA($D$19:D197))</f>
        <v>168</v>
      </c>
      <c r="B197" s="17" t="s">
        <v>899</v>
      </c>
      <c r="C197" s="90" t="s">
        <v>560</v>
      </c>
      <c r="D197" s="43">
        <v>1988</v>
      </c>
      <c r="E197" s="16">
        <v>7836.1</v>
      </c>
      <c r="F197" s="16">
        <v>5773.3</v>
      </c>
      <c r="G197" s="16">
        <v>0</v>
      </c>
      <c r="H197" s="17" t="s">
        <v>255</v>
      </c>
      <c r="I197" s="15">
        <v>2</v>
      </c>
      <c r="J197" s="16"/>
      <c r="K197" s="16"/>
      <c r="L197" s="16"/>
      <c r="M197" s="16"/>
      <c r="N197" s="16"/>
      <c r="O197" s="16">
        <f t="shared" si="37"/>
        <v>4300000</v>
      </c>
      <c r="P197" s="16"/>
      <c r="Q197" s="16"/>
      <c r="R197" s="16"/>
      <c r="S197" s="16"/>
      <c r="T197" s="16">
        <f>48*E197</f>
        <v>376132.80000000005</v>
      </c>
      <c r="U197" s="15"/>
      <c r="V197" s="19">
        <f t="shared" si="30"/>
        <v>4676132.8</v>
      </c>
      <c r="W197" s="20" t="s">
        <v>1173</v>
      </c>
      <c r="X197" s="37">
        <v>0</v>
      </c>
      <c r="Y197" s="37">
        <v>0</v>
      </c>
      <c r="Z197" s="79">
        <v>0</v>
      </c>
      <c r="AA197" s="19">
        <f t="shared" si="34"/>
        <v>4676132.8</v>
      </c>
    </row>
    <row r="198" spans="1:27" s="12" customFormat="1" ht="93.75" customHeight="1" x14ac:dyDescent="0.25">
      <c r="A198" s="17">
        <f>IF(OR(D198=0,D198=""),"",COUNTA($D$19:D198))</f>
        <v>169</v>
      </c>
      <c r="B198" s="17" t="s">
        <v>921</v>
      </c>
      <c r="C198" s="90" t="s">
        <v>168</v>
      </c>
      <c r="D198" s="15">
        <v>1987</v>
      </c>
      <c r="E198" s="16">
        <v>28226.240000000002</v>
      </c>
      <c r="F198" s="16">
        <v>19091.400000000001</v>
      </c>
      <c r="G198" s="16">
        <v>29.9</v>
      </c>
      <c r="H198" s="17" t="s">
        <v>255</v>
      </c>
      <c r="I198" s="15">
        <v>10</v>
      </c>
      <c r="J198" s="16"/>
      <c r="K198" s="16"/>
      <c r="L198" s="16"/>
      <c r="M198" s="16"/>
      <c r="N198" s="16"/>
      <c r="O198" s="16">
        <f t="shared" si="37"/>
        <v>21500000</v>
      </c>
      <c r="P198" s="16"/>
      <c r="Q198" s="16"/>
      <c r="R198" s="16"/>
      <c r="S198" s="16"/>
      <c r="T198" s="16">
        <f>48*E198</f>
        <v>1354859.52</v>
      </c>
      <c r="U198" s="15"/>
      <c r="V198" s="19">
        <f t="shared" si="30"/>
        <v>22854859.52</v>
      </c>
      <c r="W198" s="20" t="s">
        <v>1173</v>
      </c>
      <c r="X198" s="37">
        <v>0</v>
      </c>
      <c r="Y198" s="37">
        <v>0</v>
      </c>
      <c r="Z198" s="79">
        <v>0</v>
      </c>
      <c r="AA198" s="19">
        <f t="shared" si="34"/>
        <v>22854859.52</v>
      </c>
    </row>
    <row r="199" spans="1:27" s="12" customFormat="1" ht="93.75" customHeight="1" x14ac:dyDescent="0.25">
      <c r="A199" s="17">
        <f>IF(OR(D199=0,D199=""),"",COUNTA($D$19:D199))</f>
        <v>170</v>
      </c>
      <c r="B199" s="17" t="s">
        <v>944</v>
      </c>
      <c r="C199" s="90" t="s">
        <v>176</v>
      </c>
      <c r="D199" s="43">
        <v>1989</v>
      </c>
      <c r="E199" s="16">
        <v>4383.2</v>
      </c>
      <c r="F199" s="16">
        <v>2972.2</v>
      </c>
      <c r="G199" s="16">
        <v>542.6</v>
      </c>
      <c r="H199" s="17" t="s">
        <v>255</v>
      </c>
      <c r="I199" s="15">
        <v>1</v>
      </c>
      <c r="J199" s="16"/>
      <c r="K199" s="16"/>
      <c r="L199" s="16"/>
      <c r="M199" s="16"/>
      <c r="N199" s="16"/>
      <c r="O199" s="16">
        <f t="shared" si="37"/>
        <v>2150000</v>
      </c>
      <c r="P199" s="16"/>
      <c r="Q199" s="16"/>
      <c r="R199" s="16"/>
      <c r="S199" s="16"/>
      <c r="T199" s="16">
        <f>48*E199</f>
        <v>210393.59999999998</v>
      </c>
      <c r="U199" s="15"/>
      <c r="V199" s="19">
        <f t="shared" si="30"/>
        <v>2360393.6</v>
      </c>
      <c r="W199" s="20" t="s">
        <v>1173</v>
      </c>
      <c r="X199" s="37">
        <v>0</v>
      </c>
      <c r="Y199" s="37">
        <v>0</v>
      </c>
      <c r="Z199" s="79">
        <v>0</v>
      </c>
      <c r="AA199" s="19">
        <f t="shared" si="34"/>
        <v>2360393.6</v>
      </c>
    </row>
    <row r="200" spans="1:27" s="12" customFormat="1" ht="93.75" customHeight="1" x14ac:dyDescent="0.25">
      <c r="A200" s="17">
        <f>IF(OR(D200=0,D200=""),"",COUNTA($D$19:D200))</f>
        <v>171</v>
      </c>
      <c r="B200" s="17" t="s">
        <v>998</v>
      </c>
      <c r="C200" s="90" t="s">
        <v>192</v>
      </c>
      <c r="D200" s="43">
        <v>1977</v>
      </c>
      <c r="E200" s="16">
        <v>5727.6</v>
      </c>
      <c r="F200" s="16">
        <v>3909.1</v>
      </c>
      <c r="G200" s="16">
        <v>194.6</v>
      </c>
      <c r="H200" s="17" t="s">
        <v>251</v>
      </c>
      <c r="I200" s="15">
        <v>1</v>
      </c>
      <c r="J200" s="16"/>
      <c r="K200" s="16"/>
      <c r="L200" s="16"/>
      <c r="M200" s="16"/>
      <c r="N200" s="16"/>
      <c r="O200" s="16">
        <f>2350000*I200</f>
        <v>2350000</v>
      </c>
      <c r="P200" s="16"/>
      <c r="Q200" s="16"/>
      <c r="R200" s="16"/>
      <c r="S200" s="16"/>
      <c r="T200" s="16">
        <f>E200*68</f>
        <v>389476.80000000005</v>
      </c>
      <c r="U200" s="15"/>
      <c r="V200" s="19">
        <f t="shared" si="30"/>
        <v>2739476.8</v>
      </c>
      <c r="W200" s="20" t="s">
        <v>1173</v>
      </c>
      <c r="X200" s="37">
        <v>0</v>
      </c>
      <c r="Y200" s="37">
        <v>0</v>
      </c>
      <c r="Z200" s="79">
        <v>0</v>
      </c>
      <c r="AA200" s="19">
        <f t="shared" si="34"/>
        <v>2739476.8</v>
      </c>
    </row>
    <row r="201" spans="1:27" s="12" customFormat="1" ht="93.75" customHeight="1" x14ac:dyDescent="0.25">
      <c r="A201" s="17">
        <f>IF(OR(D201=0,D201=""),"",COUNTA($D$19:D201))</f>
        <v>172</v>
      </c>
      <c r="B201" s="17" t="s">
        <v>1018</v>
      </c>
      <c r="C201" s="90" t="s">
        <v>204</v>
      </c>
      <c r="D201" s="43">
        <v>1985</v>
      </c>
      <c r="E201" s="16">
        <v>12503.1</v>
      </c>
      <c r="F201" s="16">
        <v>9455.5</v>
      </c>
      <c r="G201" s="16">
        <v>0</v>
      </c>
      <c r="H201" s="17" t="s">
        <v>255</v>
      </c>
      <c r="I201" s="15">
        <v>5</v>
      </c>
      <c r="J201" s="16"/>
      <c r="K201" s="16"/>
      <c r="L201" s="16"/>
      <c r="M201" s="16"/>
      <c r="N201" s="16"/>
      <c r="O201" s="16">
        <f t="shared" ref="O201:O203" si="38">2150000*I201</f>
        <v>10750000</v>
      </c>
      <c r="P201" s="16"/>
      <c r="Q201" s="16"/>
      <c r="R201" s="16"/>
      <c r="S201" s="16"/>
      <c r="T201" s="16">
        <f>48*E201</f>
        <v>600148.80000000005</v>
      </c>
      <c r="U201" s="15"/>
      <c r="V201" s="19">
        <f t="shared" si="30"/>
        <v>11350148.800000001</v>
      </c>
      <c r="W201" s="20" t="s">
        <v>1173</v>
      </c>
      <c r="X201" s="37">
        <v>0</v>
      </c>
      <c r="Y201" s="37">
        <v>0</v>
      </c>
      <c r="Z201" s="79">
        <v>0</v>
      </c>
      <c r="AA201" s="19">
        <f t="shared" si="34"/>
        <v>11350148.800000001</v>
      </c>
    </row>
    <row r="202" spans="1:27" s="12" customFormat="1" ht="93.75" customHeight="1" x14ac:dyDescent="0.25">
      <c r="A202" s="17">
        <f>IF(OR(D202=0,D202=""),"",COUNTA($D$19:D202))</f>
        <v>173</v>
      </c>
      <c r="B202" s="17" t="s">
        <v>1019</v>
      </c>
      <c r="C202" s="90" t="s">
        <v>205</v>
      </c>
      <c r="D202" s="43">
        <v>1983</v>
      </c>
      <c r="E202" s="16">
        <v>14300.29</v>
      </c>
      <c r="F202" s="16">
        <v>9729.19</v>
      </c>
      <c r="G202" s="16">
        <v>0</v>
      </c>
      <c r="H202" s="17" t="s">
        <v>255</v>
      </c>
      <c r="I202" s="15">
        <v>5</v>
      </c>
      <c r="J202" s="16"/>
      <c r="K202" s="16"/>
      <c r="L202" s="16"/>
      <c r="M202" s="16"/>
      <c r="N202" s="16"/>
      <c r="O202" s="16">
        <f t="shared" si="38"/>
        <v>10750000</v>
      </c>
      <c r="P202" s="16"/>
      <c r="Q202" s="16"/>
      <c r="R202" s="16"/>
      <c r="S202" s="16"/>
      <c r="T202" s="16">
        <f>48*E202</f>
        <v>686413.92</v>
      </c>
      <c r="U202" s="15"/>
      <c r="V202" s="19">
        <f t="shared" si="30"/>
        <v>11436413.92</v>
      </c>
      <c r="W202" s="20" t="s">
        <v>1173</v>
      </c>
      <c r="X202" s="37">
        <v>0</v>
      </c>
      <c r="Y202" s="37">
        <v>0</v>
      </c>
      <c r="Z202" s="79">
        <v>0</v>
      </c>
      <c r="AA202" s="19">
        <f t="shared" si="34"/>
        <v>11436413.92</v>
      </c>
    </row>
    <row r="203" spans="1:27" s="12" customFormat="1" ht="93.75" customHeight="1" x14ac:dyDescent="0.25">
      <c r="A203" s="17">
        <f>IF(OR(D203=0,D203=""),"",COUNTA($D$19:D203))</f>
        <v>174</v>
      </c>
      <c r="B203" s="17" t="s">
        <v>1038</v>
      </c>
      <c r="C203" s="90" t="s">
        <v>215</v>
      </c>
      <c r="D203" s="43">
        <v>1985</v>
      </c>
      <c r="E203" s="16">
        <v>7611.3</v>
      </c>
      <c r="F203" s="16">
        <v>5526</v>
      </c>
      <c r="G203" s="16">
        <v>2085.3000000000002</v>
      </c>
      <c r="H203" s="17" t="s">
        <v>255</v>
      </c>
      <c r="I203" s="15">
        <v>3</v>
      </c>
      <c r="J203" s="16"/>
      <c r="K203" s="16"/>
      <c r="L203" s="16"/>
      <c r="M203" s="16"/>
      <c r="N203" s="16"/>
      <c r="O203" s="16">
        <f t="shared" si="38"/>
        <v>6450000</v>
      </c>
      <c r="P203" s="16"/>
      <c r="Q203" s="16"/>
      <c r="R203" s="16"/>
      <c r="S203" s="16"/>
      <c r="T203" s="16">
        <f>48*E203</f>
        <v>365342.4</v>
      </c>
      <c r="U203" s="15"/>
      <c r="V203" s="19">
        <f t="shared" si="30"/>
        <v>6815342.4000000004</v>
      </c>
      <c r="W203" s="20" t="s">
        <v>1173</v>
      </c>
      <c r="X203" s="37">
        <v>0</v>
      </c>
      <c r="Y203" s="37">
        <v>0</v>
      </c>
      <c r="Z203" s="79">
        <v>0</v>
      </c>
      <c r="AA203" s="19">
        <f t="shared" si="34"/>
        <v>6815342.4000000004</v>
      </c>
    </row>
    <row r="204" spans="1:27" s="12" customFormat="1" ht="93.75" customHeight="1" x14ac:dyDescent="0.25">
      <c r="A204" s="17">
        <f>IF(OR(D204=0,D204=""),"",COUNTA($D$19:D204))</f>
        <v>175</v>
      </c>
      <c r="B204" s="17" t="s">
        <v>990</v>
      </c>
      <c r="C204" s="90" t="s">
        <v>265</v>
      </c>
      <c r="D204" s="43">
        <v>1987</v>
      </c>
      <c r="E204" s="16">
        <v>8360.6</v>
      </c>
      <c r="F204" s="16">
        <v>6440.1</v>
      </c>
      <c r="G204" s="16">
        <v>1920.5</v>
      </c>
      <c r="H204" s="17" t="s">
        <v>255</v>
      </c>
      <c r="I204" s="15"/>
      <c r="J204" s="16"/>
      <c r="K204" s="16"/>
      <c r="L204" s="16"/>
      <c r="M204" s="16"/>
      <c r="N204" s="16"/>
      <c r="O204" s="16"/>
      <c r="P204" s="16">
        <f>E204*346</f>
        <v>2892767.6</v>
      </c>
      <c r="Q204" s="16"/>
      <c r="R204" s="16"/>
      <c r="S204" s="16"/>
      <c r="T204" s="16"/>
      <c r="U204" s="15"/>
      <c r="V204" s="19">
        <f t="shared" si="30"/>
        <v>2892767.6</v>
      </c>
      <c r="W204" s="20" t="s">
        <v>1173</v>
      </c>
      <c r="X204" s="37">
        <v>0</v>
      </c>
      <c r="Y204" s="37">
        <v>0</v>
      </c>
      <c r="Z204" s="79">
        <v>0</v>
      </c>
      <c r="AA204" s="19">
        <f t="shared" si="34"/>
        <v>2892767.6</v>
      </c>
    </row>
    <row r="205" spans="1:27" s="12" customFormat="1" ht="93.75" customHeight="1" x14ac:dyDescent="0.25">
      <c r="A205" s="17">
        <f>IF(OR(D205=0,D205=""),"",COUNTA($D$19:D205))</f>
        <v>176</v>
      </c>
      <c r="B205" s="17" t="s">
        <v>723</v>
      </c>
      <c r="C205" s="90" t="s">
        <v>300</v>
      </c>
      <c r="D205" s="43">
        <v>1972</v>
      </c>
      <c r="E205" s="16">
        <v>5780.1</v>
      </c>
      <c r="F205" s="16">
        <v>4404.1000000000004</v>
      </c>
      <c r="G205" s="16">
        <v>0</v>
      </c>
      <c r="H205" s="17" t="s">
        <v>257</v>
      </c>
      <c r="I205" s="15"/>
      <c r="J205" s="16">
        <f>232*E205</f>
        <v>1340983.2000000002</v>
      </c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9">
        <f t="shared" si="30"/>
        <v>1340983.2000000002</v>
      </c>
      <c r="W205" s="20" t="s">
        <v>1173</v>
      </c>
      <c r="X205" s="37">
        <v>0</v>
      </c>
      <c r="Y205" s="37">
        <v>0</v>
      </c>
      <c r="Z205" s="79">
        <v>0</v>
      </c>
      <c r="AA205" s="19">
        <f t="shared" si="34"/>
        <v>1340983.2000000002</v>
      </c>
    </row>
    <row r="206" spans="1:27" s="12" customFormat="1" ht="93.75" customHeight="1" x14ac:dyDescent="0.25">
      <c r="A206" s="17">
        <f>IF(OR(D206=0,D206=""),"",COUNTA($D$19:D206))</f>
        <v>177</v>
      </c>
      <c r="B206" s="17" t="s">
        <v>857</v>
      </c>
      <c r="C206" s="90" t="s">
        <v>302</v>
      </c>
      <c r="D206" s="43">
        <v>1965</v>
      </c>
      <c r="E206" s="16">
        <v>2653.7</v>
      </c>
      <c r="F206" s="16">
        <v>1980.3</v>
      </c>
      <c r="G206" s="16">
        <v>816.9</v>
      </c>
      <c r="H206" s="17" t="s">
        <v>256</v>
      </c>
      <c r="I206" s="15"/>
      <c r="J206" s="16">
        <f>232*E206</f>
        <v>615658.39999999991</v>
      </c>
      <c r="K206" s="16">
        <f>412*E206</f>
        <v>1093324.3999999999</v>
      </c>
      <c r="L206" s="16"/>
      <c r="M206" s="16">
        <f>249*E206</f>
        <v>660771.29999999993</v>
      </c>
      <c r="N206" s="16">
        <f>117*E206</f>
        <v>310482.89999999997</v>
      </c>
      <c r="O206" s="16"/>
      <c r="P206" s="16"/>
      <c r="Q206" s="16"/>
      <c r="R206" s="16"/>
      <c r="S206" s="16">
        <f>E206*90</f>
        <v>238832.99999999997</v>
      </c>
      <c r="T206" s="16"/>
      <c r="U206" s="16"/>
      <c r="V206" s="19">
        <f t="shared" si="30"/>
        <v>2919069.9999999995</v>
      </c>
      <c r="W206" s="20" t="s">
        <v>1173</v>
      </c>
      <c r="X206" s="37">
        <v>0</v>
      </c>
      <c r="Y206" s="37">
        <v>0</v>
      </c>
      <c r="Z206" s="79">
        <v>0</v>
      </c>
      <c r="AA206" s="19">
        <f t="shared" si="34"/>
        <v>2919069.9999999995</v>
      </c>
    </row>
    <row r="207" spans="1:27" s="12" customFormat="1" ht="93.75" customHeight="1" x14ac:dyDescent="0.25">
      <c r="A207" s="17">
        <f>IF(OR(D207=0,D207=""),"",COUNTA($D$19:D207))</f>
        <v>178</v>
      </c>
      <c r="B207" s="17" t="s">
        <v>862</v>
      </c>
      <c r="C207" s="90" t="s">
        <v>303</v>
      </c>
      <c r="D207" s="43">
        <v>1963</v>
      </c>
      <c r="E207" s="16">
        <v>3882.9</v>
      </c>
      <c r="F207" s="16">
        <v>2520.1999999999998</v>
      </c>
      <c r="G207" s="16">
        <v>0</v>
      </c>
      <c r="H207" s="17" t="s">
        <v>257</v>
      </c>
      <c r="I207" s="15"/>
      <c r="J207" s="16">
        <f>232*E207</f>
        <v>900832.8</v>
      </c>
      <c r="K207" s="16">
        <f>412*E207</f>
        <v>1599754.8</v>
      </c>
      <c r="L207" s="16"/>
      <c r="M207" s="16">
        <f>249*E207</f>
        <v>966842.1</v>
      </c>
      <c r="N207" s="16">
        <f>117*E207</f>
        <v>454299.3</v>
      </c>
      <c r="O207" s="16"/>
      <c r="P207" s="23"/>
      <c r="Q207" s="16">
        <f>E207*113</f>
        <v>438767.7</v>
      </c>
      <c r="R207" s="23"/>
      <c r="S207" s="16">
        <f>E207*90</f>
        <v>349461</v>
      </c>
      <c r="T207" s="16"/>
      <c r="U207" s="16"/>
      <c r="V207" s="19">
        <f t="shared" si="30"/>
        <v>4709957.7</v>
      </c>
      <c r="W207" s="20" t="s">
        <v>1173</v>
      </c>
      <c r="X207" s="37">
        <v>0</v>
      </c>
      <c r="Y207" s="37">
        <v>0</v>
      </c>
      <c r="Z207" s="79">
        <v>0</v>
      </c>
      <c r="AA207" s="19">
        <f t="shared" si="34"/>
        <v>4709957.7</v>
      </c>
    </row>
    <row r="208" spans="1:27" s="12" customFormat="1" ht="93.75" customHeight="1" x14ac:dyDescent="0.25">
      <c r="A208" s="17">
        <f>IF(OR(D208=0,D208=""),"",COUNTA($D$19:D208))</f>
        <v>179</v>
      </c>
      <c r="B208" s="17" t="s">
        <v>882</v>
      </c>
      <c r="C208" s="90" t="s">
        <v>147</v>
      </c>
      <c r="D208" s="43">
        <v>1964</v>
      </c>
      <c r="E208" s="16">
        <v>4741.8</v>
      </c>
      <c r="F208" s="16">
        <v>3535.1</v>
      </c>
      <c r="G208" s="16">
        <v>1038.4000000000001</v>
      </c>
      <c r="H208" s="17" t="s">
        <v>257</v>
      </c>
      <c r="I208" s="15"/>
      <c r="J208" s="16">
        <f>232*E208</f>
        <v>1100097.6000000001</v>
      </c>
      <c r="K208" s="16">
        <f>412*E208</f>
        <v>1953621.6</v>
      </c>
      <c r="L208" s="16"/>
      <c r="M208" s="16">
        <f>249*E208</f>
        <v>1180708.2</v>
      </c>
      <c r="N208" s="16">
        <f>117*E208</f>
        <v>554790.6</v>
      </c>
      <c r="O208" s="16"/>
      <c r="P208" s="16">
        <f>1972*E208</f>
        <v>9350829.5999999996</v>
      </c>
      <c r="Q208" s="16">
        <f>E208*113</f>
        <v>535823.4</v>
      </c>
      <c r="R208" s="16">
        <f>E208*1917</f>
        <v>9090030.5999999996</v>
      </c>
      <c r="S208" s="16">
        <f>E208*90</f>
        <v>426762</v>
      </c>
      <c r="T208" s="16"/>
      <c r="U208" s="16"/>
      <c r="V208" s="19">
        <f t="shared" si="30"/>
        <v>24192663.600000001</v>
      </c>
      <c r="W208" s="20" t="s">
        <v>1173</v>
      </c>
      <c r="X208" s="37">
        <v>0</v>
      </c>
      <c r="Y208" s="37">
        <v>0</v>
      </c>
      <c r="Z208" s="79">
        <v>0</v>
      </c>
      <c r="AA208" s="19">
        <f t="shared" si="34"/>
        <v>24192663.600000001</v>
      </c>
    </row>
    <row r="209" spans="1:27" s="12" customFormat="1" ht="93.75" customHeight="1" x14ac:dyDescent="0.25">
      <c r="A209" s="17">
        <f>IF(OR(D209=0,D209=""),"",COUNTA($D$19:D209))</f>
        <v>180</v>
      </c>
      <c r="B209" s="17" t="s">
        <v>782</v>
      </c>
      <c r="C209" s="90" t="s">
        <v>87</v>
      </c>
      <c r="D209" s="43">
        <v>1963</v>
      </c>
      <c r="E209" s="16">
        <v>4288</v>
      </c>
      <c r="F209" s="16">
        <v>3249.9</v>
      </c>
      <c r="G209" s="16">
        <v>864.5</v>
      </c>
      <c r="H209" s="17" t="s">
        <v>256</v>
      </c>
      <c r="I209" s="15"/>
      <c r="J209" s="16"/>
      <c r="K209" s="16">
        <f>412*E209</f>
        <v>1766656</v>
      </c>
      <c r="L209" s="23"/>
      <c r="M209" s="18">
        <f>249*E209</f>
        <v>1067712</v>
      </c>
      <c r="N209" s="16">
        <f>117*E209</f>
        <v>501696</v>
      </c>
      <c r="O209" s="16"/>
      <c r="P209" s="23"/>
      <c r="Q209" s="16"/>
      <c r="R209" s="23"/>
      <c r="S209" s="23"/>
      <c r="T209" s="23"/>
      <c r="U209" s="16"/>
      <c r="V209" s="19">
        <f t="shared" si="30"/>
        <v>3336064</v>
      </c>
      <c r="W209" s="20" t="s">
        <v>1173</v>
      </c>
      <c r="X209" s="37">
        <v>0</v>
      </c>
      <c r="Y209" s="37">
        <v>0</v>
      </c>
      <c r="Z209" s="79">
        <v>0</v>
      </c>
      <c r="AA209" s="19">
        <f t="shared" si="34"/>
        <v>3336064</v>
      </c>
    </row>
    <row r="210" spans="1:27" s="12" customFormat="1" ht="93.75" customHeight="1" x14ac:dyDescent="0.25">
      <c r="A210" s="17">
        <f>IF(OR(D210=0,D210=""),"",COUNTA($D$19:D210))</f>
        <v>181</v>
      </c>
      <c r="B210" s="17" t="s">
        <v>1024</v>
      </c>
      <c r="C210" s="90" t="s">
        <v>208</v>
      </c>
      <c r="D210" s="43">
        <v>1964</v>
      </c>
      <c r="E210" s="16">
        <v>4200</v>
      </c>
      <c r="F210" s="16">
        <v>2542.1</v>
      </c>
      <c r="G210" s="16">
        <v>0</v>
      </c>
      <c r="H210" s="17" t="s">
        <v>256</v>
      </c>
      <c r="I210" s="15"/>
      <c r="J210" s="16">
        <f>232*E210</f>
        <v>974400</v>
      </c>
      <c r="K210" s="16">
        <f>412*E210</f>
        <v>1730400</v>
      </c>
      <c r="L210" s="23"/>
      <c r="M210" s="18">
        <f>249*E210</f>
        <v>1045800</v>
      </c>
      <c r="N210" s="16">
        <f>117*E210</f>
        <v>491400</v>
      </c>
      <c r="O210" s="16"/>
      <c r="P210" s="16">
        <f>1972*E210</f>
        <v>8282400</v>
      </c>
      <c r="Q210" s="16">
        <f>E210*113</f>
        <v>474600</v>
      </c>
      <c r="R210" s="16">
        <f>1917*E210</f>
        <v>8051400</v>
      </c>
      <c r="S210" s="16">
        <f>E210*90</f>
        <v>378000</v>
      </c>
      <c r="T210" s="23"/>
      <c r="U210" s="16"/>
      <c r="V210" s="19">
        <f t="shared" si="30"/>
        <v>21428400</v>
      </c>
      <c r="W210" s="20" t="s">
        <v>1173</v>
      </c>
      <c r="X210" s="37">
        <v>0</v>
      </c>
      <c r="Y210" s="37">
        <v>0</v>
      </c>
      <c r="Z210" s="79">
        <v>0</v>
      </c>
      <c r="AA210" s="19">
        <f t="shared" si="34"/>
        <v>21428400</v>
      </c>
    </row>
    <row r="211" spans="1:27" s="12" customFormat="1" ht="93.75" customHeight="1" x14ac:dyDescent="0.25">
      <c r="A211" s="17">
        <f>IF(OR(D211=0,D211=""),"",COUNTA($D$19:D211))</f>
        <v>182</v>
      </c>
      <c r="B211" s="17" t="s">
        <v>711</v>
      </c>
      <c r="C211" s="90" t="s">
        <v>47</v>
      </c>
      <c r="D211" s="43">
        <v>1966</v>
      </c>
      <c r="E211" s="16">
        <v>12412.2</v>
      </c>
      <c r="F211" s="16">
        <v>8491.4</v>
      </c>
      <c r="G211" s="16">
        <v>2448</v>
      </c>
      <c r="H211" s="17" t="s">
        <v>257</v>
      </c>
      <c r="I211" s="15"/>
      <c r="J211" s="16"/>
      <c r="K211" s="16"/>
      <c r="L211" s="23"/>
      <c r="M211" s="24"/>
      <c r="N211" s="16"/>
      <c r="O211" s="16"/>
      <c r="P211" s="16"/>
      <c r="Q211" s="16"/>
      <c r="R211" s="16">
        <f>E211*1917</f>
        <v>23794187.400000002</v>
      </c>
      <c r="S211" s="23"/>
      <c r="T211" s="23"/>
      <c r="U211" s="16"/>
      <c r="V211" s="19">
        <f t="shared" si="30"/>
        <v>23794187.400000002</v>
      </c>
      <c r="W211" s="20" t="s">
        <v>1173</v>
      </c>
      <c r="X211" s="37">
        <v>0</v>
      </c>
      <c r="Y211" s="37">
        <v>0</v>
      </c>
      <c r="Z211" s="79">
        <v>0</v>
      </c>
      <c r="AA211" s="19">
        <f t="shared" si="34"/>
        <v>23794187.400000002</v>
      </c>
    </row>
    <row r="212" spans="1:27" s="12" customFormat="1" ht="93.75" customHeight="1" x14ac:dyDescent="0.25">
      <c r="A212" s="17">
        <f>IF(OR(D212=0,D212=""),"",COUNTA($D$19:D212))</f>
        <v>183</v>
      </c>
      <c r="B212" s="17" t="s">
        <v>863</v>
      </c>
      <c r="C212" s="90" t="s">
        <v>140</v>
      </c>
      <c r="D212" s="43">
        <v>1966</v>
      </c>
      <c r="E212" s="16">
        <v>2482.1</v>
      </c>
      <c r="F212" s="16">
        <v>1619</v>
      </c>
      <c r="G212" s="16">
        <v>0</v>
      </c>
      <c r="H212" s="17" t="s">
        <v>257</v>
      </c>
      <c r="I212" s="15"/>
      <c r="J212" s="16"/>
      <c r="K212" s="16"/>
      <c r="L212" s="23"/>
      <c r="M212" s="16"/>
      <c r="N212" s="16"/>
      <c r="O212" s="16"/>
      <c r="P212" s="16">
        <f>1972*E212</f>
        <v>4894701.2</v>
      </c>
      <c r="Q212" s="16"/>
      <c r="R212" s="16">
        <f>E212*1917</f>
        <v>4758185.7</v>
      </c>
      <c r="S212" s="16">
        <f>E212*90</f>
        <v>223389</v>
      </c>
      <c r="T212" s="23"/>
      <c r="U212" s="16"/>
      <c r="V212" s="19">
        <f t="shared" si="30"/>
        <v>9876275.9000000004</v>
      </c>
      <c r="W212" s="20" t="s">
        <v>1173</v>
      </c>
      <c r="X212" s="37">
        <v>0</v>
      </c>
      <c r="Y212" s="37">
        <v>0</v>
      </c>
      <c r="Z212" s="79">
        <v>0</v>
      </c>
      <c r="AA212" s="19">
        <f t="shared" si="34"/>
        <v>9876275.9000000004</v>
      </c>
    </row>
    <row r="213" spans="1:27" s="12" customFormat="1" ht="93.75" customHeight="1" x14ac:dyDescent="0.25">
      <c r="A213" s="17">
        <f>IF(OR(D213=0,D213=""),"",COUNTA($D$19:D213))</f>
        <v>184</v>
      </c>
      <c r="B213" s="17" t="s">
        <v>728</v>
      </c>
      <c r="C213" s="90" t="s">
        <v>311</v>
      </c>
      <c r="D213" s="43">
        <v>1982</v>
      </c>
      <c r="E213" s="16">
        <v>25575.9</v>
      </c>
      <c r="F213" s="16">
        <v>18083</v>
      </c>
      <c r="G213" s="16">
        <v>410.1</v>
      </c>
      <c r="H213" s="17" t="s">
        <v>255</v>
      </c>
      <c r="I213" s="15"/>
      <c r="J213" s="16"/>
      <c r="K213" s="16"/>
      <c r="L213" s="23"/>
      <c r="M213" s="24"/>
      <c r="N213" s="16"/>
      <c r="O213" s="16"/>
      <c r="P213" s="16">
        <f>E213*346</f>
        <v>8849261.4000000004</v>
      </c>
      <c r="Q213" s="23"/>
      <c r="R213" s="23"/>
      <c r="S213" s="23"/>
      <c r="T213" s="23"/>
      <c r="U213" s="16"/>
      <c r="V213" s="19">
        <f t="shared" si="30"/>
        <v>8849261.4000000004</v>
      </c>
      <c r="W213" s="20" t="s">
        <v>1173</v>
      </c>
      <c r="X213" s="37">
        <v>0</v>
      </c>
      <c r="Y213" s="37">
        <v>0</v>
      </c>
      <c r="Z213" s="79">
        <v>0</v>
      </c>
      <c r="AA213" s="19">
        <f t="shared" si="34"/>
        <v>8849261.4000000004</v>
      </c>
    </row>
    <row r="214" spans="1:27" s="12" customFormat="1" ht="93.75" customHeight="1" x14ac:dyDescent="0.25">
      <c r="A214" s="17">
        <f>IF(OR(D214=0,D214=""),"",COUNTA($D$19:D214))</f>
        <v>185</v>
      </c>
      <c r="B214" s="17" t="s">
        <v>856</v>
      </c>
      <c r="C214" s="90" t="s">
        <v>312</v>
      </c>
      <c r="D214" s="43">
        <v>1956</v>
      </c>
      <c r="E214" s="16">
        <v>1101.5999999999999</v>
      </c>
      <c r="F214" s="16">
        <v>579.29999999999995</v>
      </c>
      <c r="G214" s="16">
        <v>522.29999999999995</v>
      </c>
      <c r="H214" s="17" t="s">
        <v>250</v>
      </c>
      <c r="I214" s="15"/>
      <c r="J214" s="16"/>
      <c r="K214" s="16">
        <f>E214*577</f>
        <v>635623.19999999995</v>
      </c>
      <c r="L214" s="16"/>
      <c r="M214" s="16">
        <f>E214*193</f>
        <v>212608.8</v>
      </c>
      <c r="N214" s="16">
        <f>E214*136</f>
        <v>149817.59999999998</v>
      </c>
      <c r="O214" s="16"/>
      <c r="P214" s="16">
        <f>E214*1919</f>
        <v>2113970.4</v>
      </c>
      <c r="Q214" s="16">
        <f>E214*48</f>
        <v>52876.799999999996</v>
      </c>
      <c r="R214" s="16">
        <f>E214*1853</f>
        <v>2041264.7999999998</v>
      </c>
      <c r="S214" s="16">
        <f>E214*114</f>
        <v>125582.39999999999</v>
      </c>
      <c r="T214" s="16"/>
      <c r="U214" s="16"/>
      <c r="V214" s="19">
        <f t="shared" si="30"/>
        <v>5331744</v>
      </c>
      <c r="W214" s="20" t="s">
        <v>1173</v>
      </c>
      <c r="X214" s="37">
        <v>0</v>
      </c>
      <c r="Y214" s="37">
        <v>0</v>
      </c>
      <c r="Z214" s="79">
        <v>0</v>
      </c>
      <c r="AA214" s="19">
        <f t="shared" si="34"/>
        <v>5331744</v>
      </c>
    </row>
    <row r="215" spans="1:27" s="12" customFormat="1" ht="93.75" customHeight="1" x14ac:dyDescent="0.25">
      <c r="A215" s="17">
        <f>IF(OR(D215=0,D215=""),"",COUNTA($D$19:D215))</f>
        <v>186</v>
      </c>
      <c r="B215" s="17" t="s">
        <v>923</v>
      </c>
      <c r="C215" s="90" t="s">
        <v>314</v>
      </c>
      <c r="D215" s="43">
        <v>1991</v>
      </c>
      <c r="E215" s="16">
        <v>15645.4</v>
      </c>
      <c r="F215" s="16">
        <v>12233</v>
      </c>
      <c r="G215" s="16">
        <v>135.6</v>
      </c>
      <c r="H215" s="17" t="s">
        <v>255</v>
      </c>
      <c r="I215" s="15">
        <v>6</v>
      </c>
      <c r="J215" s="16"/>
      <c r="K215" s="16"/>
      <c r="L215" s="23"/>
      <c r="M215" s="24"/>
      <c r="N215" s="16"/>
      <c r="O215" s="16"/>
      <c r="P215" s="16">
        <f>E215*346</f>
        <v>5413308.3999999994</v>
      </c>
      <c r="Q215" s="23"/>
      <c r="R215" s="23"/>
      <c r="S215" s="23"/>
      <c r="T215" s="23"/>
      <c r="U215" s="16"/>
      <c r="V215" s="19">
        <f t="shared" si="30"/>
        <v>5413308.3999999994</v>
      </c>
      <c r="W215" s="20" t="s">
        <v>1173</v>
      </c>
      <c r="X215" s="37">
        <v>0</v>
      </c>
      <c r="Y215" s="37">
        <v>0</v>
      </c>
      <c r="Z215" s="79">
        <v>0</v>
      </c>
      <c r="AA215" s="19">
        <f t="shared" si="34"/>
        <v>5413308.3999999994</v>
      </c>
    </row>
    <row r="216" spans="1:27" s="12" customFormat="1" ht="93.75" customHeight="1" x14ac:dyDescent="0.25">
      <c r="A216" s="17">
        <f>IF(OR(D216=0,D216=""),"",COUNTA($D$19:D216))</f>
        <v>187</v>
      </c>
      <c r="B216" s="17" t="s">
        <v>974</v>
      </c>
      <c r="C216" s="90" t="s">
        <v>315</v>
      </c>
      <c r="D216" s="43">
        <v>1973</v>
      </c>
      <c r="E216" s="16">
        <v>5780.3</v>
      </c>
      <c r="F216" s="16">
        <v>4406</v>
      </c>
      <c r="G216" s="16">
        <v>0</v>
      </c>
      <c r="H216" s="17" t="s">
        <v>257</v>
      </c>
      <c r="I216" s="15"/>
      <c r="J216" s="16"/>
      <c r="K216" s="16"/>
      <c r="L216" s="23"/>
      <c r="M216" s="24"/>
      <c r="N216" s="16"/>
      <c r="O216" s="16"/>
      <c r="P216" s="16">
        <f>1972*E216</f>
        <v>11398751.6</v>
      </c>
      <c r="Q216" s="23"/>
      <c r="R216" s="23"/>
      <c r="S216" s="23"/>
      <c r="T216" s="23"/>
      <c r="U216" s="16"/>
      <c r="V216" s="19">
        <f t="shared" si="30"/>
        <v>11398751.6</v>
      </c>
      <c r="W216" s="20" t="s">
        <v>1173</v>
      </c>
      <c r="X216" s="37">
        <v>0</v>
      </c>
      <c r="Y216" s="37">
        <v>0</v>
      </c>
      <c r="Z216" s="79">
        <v>0</v>
      </c>
      <c r="AA216" s="19">
        <f t="shared" si="34"/>
        <v>11398751.6</v>
      </c>
    </row>
    <row r="217" spans="1:27" s="12" customFormat="1" ht="93.75" customHeight="1" x14ac:dyDescent="0.25">
      <c r="A217" s="17">
        <f>IF(OR(D217=0,D217=""),"",COUNTA($D$19:D217))</f>
        <v>188</v>
      </c>
      <c r="B217" s="17" t="s">
        <v>1161</v>
      </c>
      <c r="C217" s="90" t="s">
        <v>316</v>
      </c>
      <c r="D217" s="43">
        <v>1985</v>
      </c>
      <c r="E217" s="16">
        <v>3675</v>
      </c>
      <c r="F217" s="16">
        <v>2681.6</v>
      </c>
      <c r="G217" s="16">
        <v>993.4</v>
      </c>
      <c r="H217" s="17" t="s">
        <v>257</v>
      </c>
      <c r="I217" s="15"/>
      <c r="J217" s="16"/>
      <c r="K217" s="16"/>
      <c r="L217" s="23"/>
      <c r="M217" s="24"/>
      <c r="N217" s="16"/>
      <c r="O217" s="16"/>
      <c r="P217" s="16">
        <f>1972*E217</f>
        <v>7247100</v>
      </c>
      <c r="Q217" s="23"/>
      <c r="R217" s="23"/>
      <c r="S217" s="23"/>
      <c r="T217" s="23"/>
      <c r="U217" s="16"/>
      <c r="V217" s="19">
        <f t="shared" si="30"/>
        <v>7247100</v>
      </c>
      <c r="W217" s="20" t="s">
        <v>1173</v>
      </c>
      <c r="X217" s="37">
        <v>0</v>
      </c>
      <c r="Y217" s="37">
        <v>0</v>
      </c>
      <c r="Z217" s="79">
        <v>0</v>
      </c>
      <c r="AA217" s="19">
        <f t="shared" si="34"/>
        <v>7247100</v>
      </c>
    </row>
    <row r="218" spans="1:27" s="12" customFormat="1" ht="93.75" customHeight="1" x14ac:dyDescent="0.25">
      <c r="A218" s="17">
        <f>IF(OR(D218=0,D218=""),"",COUNTA($D$19:D218))</f>
        <v>189</v>
      </c>
      <c r="B218" s="17" t="s">
        <v>1036</v>
      </c>
      <c r="C218" s="90" t="s">
        <v>317</v>
      </c>
      <c r="D218" s="43">
        <v>1970</v>
      </c>
      <c r="E218" s="16">
        <v>5926.7</v>
      </c>
      <c r="F218" s="16">
        <v>4292.3</v>
      </c>
      <c r="G218" s="16">
        <v>62.6</v>
      </c>
      <c r="H218" s="17" t="s">
        <v>257</v>
      </c>
      <c r="I218" s="15"/>
      <c r="J218" s="16"/>
      <c r="K218" s="16"/>
      <c r="L218" s="23"/>
      <c r="M218" s="24"/>
      <c r="N218" s="16"/>
      <c r="O218" s="16"/>
      <c r="P218" s="16">
        <f>1972*E218</f>
        <v>11687452.4</v>
      </c>
      <c r="Q218" s="23"/>
      <c r="R218" s="23"/>
      <c r="S218" s="23"/>
      <c r="T218" s="23"/>
      <c r="U218" s="16"/>
      <c r="V218" s="19">
        <f t="shared" si="30"/>
        <v>11687452.4</v>
      </c>
      <c r="W218" s="20" t="s">
        <v>1173</v>
      </c>
      <c r="X218" s="37">
        <v>0</v>
      </c>
      <c r="Y218" s="37">
        <v>0</v>
      </c>
      <c r="Z218" s="79">
        <v>0</v>
      </c>
      <c r="AA218" s="19">
        <f t="shared" si="34"/>
        <v>11687452.4</v>
      </c>
    </row>
    <row r="219" spans="1:27" s="12" customFormat="1" ht="93.75" customHeight="1" x14ac:dyDescent="0.25">
      <c r="A219" s="17">
        <f>IF(OR(D219=0,D219=""),"",COUNTA($D$19:D219))</f>
        <v>190</v>
      </c>
      <c r="B219" s="17" t="s">
        <v>825</v>
      </c>
      <c r="C219" s="90" t="s">
        <v>111</v>
      </c>
      <c r="D219" s="43">
        <v>1972</v>
      </c>
      <c r="E219" s="16">
        <v>5697.9</v>
      </c>
      <c r="F219" s="16">
        <v>4349.5</v>
      </c>
      <c r="G219" s="16">
        <v>17.2</v>
      </c>
      <c r="H219" s="17" t="s">
        <v>257</v>
      </c>
      <c r="I219" s="15"/>
      <c r="J219" s="16">
        <f>232*E219</f>
        <v>1321912.7999999998</v>
      </c>
      <c r="K219" s="16">
        <f>412*E219</f>
        <v>2347534.7999999998</v>
      </c>
      <c r="L219" s="16"/>
      <c r="M219" s="16">
        <f>249*E219</f>
        <v>1418777.0999999999</v>
      </c>
      <c r="N219" s="16">
        <f>117*E219</f>
        <v>666654.29999999993</v>
      </c>
      <c r="O219" s="16"/>
      <c r="P219" s="16">
        <f>1972*E219</f>
        <v>11236258.799999999</v>
      </c>
      <c r="Q219" s="16">
        <f>E219*113</f>
        <v>643862.69999999995</v>
      </c>
      <c r="R219" s="16">
        <f>E219*1917</f>
        <v>10922874.299999999</v>
      </c>
      <c r="S219" s="16">
        <f>E219*90</f>
        <v>512810.99999999994</v>
      </c>
      <c r="T219" s="16"/>
      <c r="U219" s="15"/>
      <c r="V219" s="19">
        <f t="shared" si="30"/>
        <v>29070685.799999997</v>
      </c>
      <c r="W219" s="20" t="s">
        <v>1173</v>
      </c>
      <c r="X219" s="37">
        <v>0</v>
      </c>
      <c r="Y219" s="37">
        <v>0</v>
      </c>
      <c r="Z219" s="79">
        <v>0</v>
      </c>
      <c r="AA219" s="19">
        <f t="shared" si="34"/>
        <v>29070685.799999997</v>
      </c>
    </row>
    <row r="220" spans="1:27" s="12" customFormat="1" ht="93.75" customHeight="1" x14ac:dyDescent="0.25">
      <c r="A220" s="17">
        <f>IF(OR(D220=0,D220=""),"",COUNTA($D$19:D220))</f>
        <v>191</v>
      </c>
      <c r="B220" s="17" t="s">
        <v>830</v>
      </c>
      <c r="C220" s="90" t="s">
        <v>323</v>
      </c>
      <c r="D220" s="15">
        <v>1970</v>
      </c>
      <c r="E220" s="16">
        <v>4196.3</v>
      </c>
      <c r="F220" s="16">
        <v>3663.9</v>
      </c>
      <c r="G220" s="16">
        <v>170.3</v>
      </c>
      <c r="H220" s="17" t="s">
        <v>257</v>
      </c>
      <c r="I220" s="15"/>
      <c r="J220" s="16"/>
      <c r="K220" s="16"/>
      <c r="L220" s="16"/>
      <c r="M220" s="18"/>
      <c r="N220" s="16"/>
      <c r="O220" s="16"/>
      <c r="P220" s="16">
        <f>1972*E220</f>
        <v>8275103.6000000006</v>
      </c>
      <c r="Q220" s="16"/>
      <c r="R220" s="16"/>
      <c r="S220" s="16"/>
      <c r="T220" s="16"/>
      <c r="U220" s="15"/>
      <c r="V220" s="19">
        <f t="shared" ref="V220:V252" si="39">J220+K220+L220+M220+N220+O220+P220+Q220+R220+S220+T220+U220</f>
        <v>8275103.6000000006</v>
      </c>
      <c r="W220" s="20" t="s">
        <v>1173</v>
      </c>
      <c r="X220" s="37">
        <v>0</v>
      </c>
      <c r="Y220" s="37">
        <v>0</v>
      </c>
      <c r="Z220" s="79">
        <v>0</v>
      </c>
      <c r="AA220" s="19">
        <f t="shared" si="34"/>
        <v>8275103.6000000006</v>
      </c>
    </row>
    <row r="221" spans="1:27" s="12" customFormat="1" ht="93.75" customHeight="1" x14ac:dyDescent="0.25">
      <c r="A221" s="17">
        <f>IF(OR(D221=0,D221=""),"",COUNTA($D$19:D221))</f>
        <v>192</v>
      </c>
      <c r="B221" s="17" t="s">
        <v>900</v>
      </c>
      <c r="C221" s="90" t="s">
        <v>325</v>
      </c>
      <c r="D221" s="43">
        <v>1996</v>
      </c>
      <c r="E221" s="16">
        <v>3109.8</v>
      </c>
      <c r="F221" s="16">
        <v>2105</v>
      </c>
      <c r="G221" s="16">
        <v>34.5</v>
      </c>
      <c r="H221" s="17" t="s">
        <v>257</v>
      </c>
      <c r="I221" s="15"/>
      <c r="J221" s="16"/>
      <c r="K221" s="16"/>
      <c r="L221" s="16"/>
      <c r="M221" s="18"/>
      <c r="N221" s="16"/>
      <c r="O221" s="16"/>
      <c r="P221" s="16"/>
      <c r="Q221" s="16"/>
      <c r="R221" s="16">
        <f>E221*1917</f>
        <v>5961486.6000000006</v>
      </c>
      <c r="S221" s="16">
        <f>E221*90</f>
        <v>279882</v>
      </c>
      <c r="T221" s="16"/>
      <c r="U221" s="15"/>
      <c r="V221" s="19">
        <f t="shared" si="39"/>
        <v>6241368.6000000006</v>
      </c>
      <c r="W221" s="20" t="s">
        <v>1173</v>
      </c>
      <c r="X221" s="37">
        <v>0</v>
      </c>
      <c r="Y221" s="37">
        <v>0</v>
      </c>
      <c r="Z221" s="79">
        <v>0</v>
      </c>
      <c r="AA221" s="19">
        <f t="shared" si="34"/>
        <v>6241368.6000000006</v>
      </c>
    </row>
    <row r="222" spans="1:27" s="12" customFormat="1" ht="93.75" customHeight="1" x14ac:dyDescent="0.25">
      <c r="A222" s="17">
        <f>IF(OR(D222=0,D222=""),"",COUNTA($D$19:D222))</f>
        <v>193</v>
      </c>
      <c r="B222" s="17" t="s">
        <v>955</v>
      </c>
      <c r="C222" s="90" t="s">
        <v>326</v>
      </c>
      <c r="D222" s="43">
        <v>1975</v>
      </c>
      <c r="E222" s="16">
        <v>7873.7</v>
      </c>
      <c r="F222" s="16">
        <v>5756.8</v>
      </c>
      <c r="G222" s="16">
        <v>0</v>
      </c>
      <c r="H222" s="17" t="s">
        <v>257</v>
      </c>
      <c r="I222" s="15"/>
      <c r="J222" s="16"/>
      <c r="K222" s="16"/>
      <c r="L222" s="16"/>
      <c r="M222" s="18"/>
      <c r="N222" s="16"/>
      <c r="O222" s="16"/>
      <c r="P222" s="16">
        <f>1972*E222</f>
        <v>15526936.4</v>
      </c>
      <c r="Q222" s="16"/>
      <c r="R222" s="16"/>
      <c r="S222" s="16"/>
      <c r="T222" s="16"/>
      <c r="U222" s="15"/>
      <c r="V222" s="19">
        <f t="shared" si="39"/>
        <v>15526936.4</v>
      </c>
      <c r="W222" s="20" t="s">
        <v>1173</v>
      </c>
      <c r="X222" s="37">
        <v>0</v>
      </c>
      <c r="Y222" s="37">
        <v>0</v>
      </c>
      <c r="Z222" s="79">
        <v>0</v>
      </c>
      <c r="AA222" s="19">
        <f t="shared" si="34"/>
        <v>15526936.4</v>
      </c>
    </row>
    <row r="223" spans="1:27" s="12" customFormat="1" ht="93.75" customHeight="1" x14ac:dyDescent="0.25">
      <c r="A223" s="17">
        <f>IF(OR(D223=0,D223=""),"",COUNTA($D$19:D223))</f>
        <v>194</v>
      </c>
      <c r="B223" s="17" t="s">
        <v>1028</v>
      </c>
      <c r="C223" s="90" t="s">
        <v>295</v>
      </c>
      <c r="D223" s="43">
        <v>1954</v>
      </c>
      <c r="E223" s="16">
        <v>4057.9</v>
      </c>
      <c r="F223" s="16">
        <v>2062.9</v>
      </c>
      <c r="G223" s="16">
        <v>167.8</v>
      </c>
      <c r="H223" s="17" t="s">
        <v>256</v>
      </c>
      <c r="I223" s="15"/>
      <c r="J223" s="16"/>
      <c r="K223" s="16"/>
      <c r="L223" s="16"/>
      <c r="M223" s="18"/>
      <c r="N223" s="16"/>
      <c r="O223" s="16"/>
      <c r="P223" s="16">
        <f>1972*E223</f>
        <v>8002178.7999999998</v>
      </c>
      <c r="Q223" s="16"/>
      <c r="R223" s="16">
        <f t="shared" ref="R223:R230" si="40">E223*1917</f>
        <v>7778994.2999999998</v>
      </c>
      <c r="S223" s="16"/>
      <c r="T223" s="16"/>
      <c r="U223" s="15"/>
      <c r="V223" s="19">
        <f t="shared" si="39"/>
        <v>15781173.1</v>
      </c>
      <c r="W223" s="20" t="s">
        <v>1173</v>
      </c>
      <c r="X223" s="37">
        <v>0</v>
      </c>
      <c r="Y223" s="37">
        <v>0</v>
      </c>
      <c r="Z223" s="79">
        <v>0</v>
      </c>
      <c r="AA223" s="19">
        <f t="shared" si="34"/>
        <v>15781173.1</v>
      </c>
    </row>
    <row r="224" spans="1:27" s="12" customFormat="1" ht="93.75" customHeight="1" x14ac:dyDescent="0.25">
      <c r="A224" s="17">
        <f>IF(OR(D224=0,D224=""),"",COUNTA($D$19:D224))</f>
        <v>195</v>
      </c>
      <c r="B224" s="17" t="s">
        <v>1029</v>
      </c>
      <c r="C224" s="90" t="s">
        <v>296</v>
      </c>
      <c r="D224" s="43">
        <v>1951</v>
      </c>
      <c r="E224" s="16">
        <v>4343.6899999999996</v>
      </c>
      <c r="F224" s="16">
        <v>1928.09</v>
      </c>
      <c r="G224" s="16">
        <v>305.89999999999998</v>
      </c>
      <c r="H224" s="17" t="s">
        <v>256</v>
      </c>
      <c r="I224" s="15"/>
      <c r="J224" s="16"/>
      <c r="K224" s="16"/>
      <c r="L224" s="16"/>
      <c r="M224" s="18"/>
      <c r="N224" s="16"/>
      <c r="O224" s="16"/>
      <c r="P224" s="16"/>
      <c r="Q224" s="16"/>
      <c r="R224" s="16">
        <f t="shared" si="40"/>
        <v>8326853.7299999995</v>
      </c>
      <c r="S224" s="16"/>
      <c r="T224" s="16"/>
      <c r="U224" s="15"/>
      <c r="V224" s="19">
        <f t="shared" si="39"/>
        <v>8326853.7299999995</v>
      </c>
      <c r="W224" s="20" t="s">
        <v>1173</v>
      </c>
      <c r="X224" s="37">
        <v>0</v>
      </c>
      <c r="Y224" s="37">
        <v>0</v>
      </c>
      <c r="Z224" s="79">
        <v>0</v>
      </c>
      <c r="AA224" s="19">
        <f t="shared" si="34"/>
        <v>8326853.7299999995</v>
      </c>
    </row>
    <row r="225" spans="1:34" s="12" customFormat="1" ht="93.75" customHeight="1" x14ac:dyDescent="0.25">
      <c r="A225" s="17">
        <f>IF(OR(D225=0,D225=""),"",COUNTA($D$19:D225))</f>
        <v>196</v>
      </c>
      <c r="B225" s="17" t="s">
        <v>1027</v>
      </c>
      <c r="C225" s="90" t="s">
        <v>209</v>
      </c>
      <c r="D225" s="43">
        <v>1969</v>
      </c>
      <c r="E225" s="16">
        <v>4686.8</v>
      </c>
      <c r="F225" s="16">
        <v>3537.7</v>
      </c>
      <c r="G225" s="16">
        <v>0</v>
      </c>
      <c r="H225" s="17" t="s">
        <v>257</v>
      </c>
      <c r="I225" s="15"/>
      <c r="J225" s="16"/>
      <c r="K225" s="16"/>
      <c r="L225" s="16"/>
      <c r="M225" s="18"/>
      <c r="N225" s="16"/>
      <c r="O225" s="15"/>
      <c r="P225" s="16">
        <f t="shared" ref="P225:P230" si="41">1972*E225</f>
        <v>9242369.5999999996</v>
      </c>
      <c r="Q225" s="16"/>
      <c r="R225" s="16">
        <f t="shared" si="40"/>
        <v>8984595.5999999996</v>
      </c>
      <c r="S225" s="16">
        <f>E225*90</f>
        <v>421812</v>
      </c>
      <c r="T225" s="16"/>
      <c r="U225" s="16"/>
      <c r="V225" s="19">
        <f t="shared" si="39"/>
        <v>18648777.199999999</v>
      </c>
      <c r="W225" s="20" t="s">
        <v>1173</v>
      </c>
      <c r="X225" s="37">
        <v>0</v>
      </c>
      <c r="Y225" s="37">
        <v>0</v>
      </c>
      <c r="Z225" s="79">
        <v>0</v>
      </c>
      <c r="AA225" s="19">
        <f t="shared" si="34"/>
        <v>18648777.199999999</v>
      </c>
      <c r="AB225" s="14"/>
      <c r="AC225" s="14"/>
      <c r="AD225" s="14"/>
      <c r="AE225" s="14"/>
      <c r="AF225" s="14"/>
      <c r="AG225" s="14"/>
      <c r="AH225" s="14"/>
    </row>
    <row r="226" spans="1:34" s="12" customFormat="1" ht="93.75" customHeight="1" x14ac:dyDescent="0.25">
      <c r="A226" s="17">
        <f>IF(OR(D226=0,D226=""),"",COUNTA($D$19:D226))</f>
        <v>197</v>
      </c>
      <c r="B226" s="17" t="s">
        <v>941</v>
      </c>
      <c r="C226" s="90" t="s">
        <v>175</v>
      </c>
      <c r="D226" s="43">
        <v>1949</v>
      </c>
      <c r="E226" s="16">
        <v>2263.8000000000002</v>
      </c>
      <c r="F226" s="16">
        <v>1242.8</v>
      </c>
      <c r="G226" s="16">
        <v>325.3</v>
      </c>
      <c r="H226" s="17" t="s">
        <v>256</v>
      </c>
      <c r="I226" s="15"/>
      <c r="J226" s="16">
        <f>232*E226</f>
        <v>525201.60000000009</v>
      </c>
      <c r="K226" s="16">
        <f>412*E226</f>
        <v>932685.60000000009</v>
      </c>
      <c r="L226" s="16"/>
      <c r="M226" s="18">
        <f>249*E226</f>
        <v>563686.20000000007</v>
      </c>
      <c r="N226" s="16">
        <f>117*E226</f>
        <v>264864.60000000003</v>
      </c>
      <c r="O226" s="16"/>
      <c r="P226" s="16">
        <f t="shared" si="41"/>
        <v>4464213.6000000006</v>
      </c>
      <c r="Q226" s="16">
        <f>E226*113</f>
        <v>255809.40000000002</v>
      </c>
      <c r="R226" s="16">
        <f t="shared" si="40"/>
        <v>4339704.6000000006</v>
      </c>
      <c r="S226" s="16">
        <f>E226*90</f>
        <v>203742.00000000003</v>
      </c>
      <c r="T226" s="16"/>
      <c r="U226" s="16">
        <f t="shared" ref="U226:U230" si="42">(J226+K226+L226+M226+N226+O226+P226+Q226+R226+S226+T226)*0.0214</f>
        <v>247168.02264000001</v>
      </c>
      <c r="V226" s="19">
        <f t="shared" si="39"/>
        <v>11797075.622640001</v>
      </c>
      <c r="W226" s="20" t="s">
        <v>1173</v>
      </c>
      <c r="X226" s="37">
        <v>0</v>
      </c>
      <c r="Y226" s="37">
        <v>0</v>
      </c>
      <c r="Z226" s="79">
        <v>0</v>
      </c>
      <c r="AA226" s="19">
        <f t="shared" si="34"/>
        <v>11797075.622640001</v>
      </c>
    </row>
    <row r="227" spans="1:34" s="12" customFormat="1" ht="93.75" customHeight="1" x14ac:dyDescent="0.25">
      <c r="A227" s="17">
        <f>IF(OR(D227=0,D227=""),"",COUNTA($D$19:D227))</f>
        <v>198</v>
      </c>
      <c r="B227" s="17" t="s">
        <v>995</v>
      </c>
      <c r="C227" s="90" t="s">
        <v>191</v>
      </c>
      <c r="D227" s="43">
        <v>1957</v>
      </c>
      <c r="E227" s="16">
        <v>2946.2</v>
      </c>
      <c r="F227" s="16">
        <v>1786.2</v>
      </c>
      <c r="G227" s="16">
        <v>583.9</v>
      </c>
      <c r="H227" s="17" t="s">
        <v>256</v>
      </c>
      <c r="I227" s="15"/>
      <c r="J227" s="16">
        <f>232*E227</f>
        <v>683518.39999999991</v>
      </c>
      <c r="K227" s="16">
        <f>412*E227</f>
        <v>1213834.3999999999</v>
      </c>
      <c r="L227" s="16"/>
      <c r="M227" s="18">
        <f>249*E227</f>
        <v>733603.79999999993</v>
      </c>
      <c r="N227" s="16">
        <f>117*E227</f>
        <v>344705.39999999997</v>
      </c>
      <c r="O227" s="16"/>
      <c r="P227" s="16">
        <f t="shared" si="41"/>
        <v>5809906.3999999994</v>
      </c>
      <c r="Q227" s="16">
        <f>E227*113</f>
        <v>332920.59999999998</v>
      </c>
      <c r="R227" s="16">
        <f t="shared" si="40"/>
        <v>5647865.3999999994</v>
      </c>
      <c r="S227" s="16">
        <f>E227*90</f>
        <v>265158</v>
      </c>
      <c r="T227" s="16"/>
      <c r="U227" s="16">
        <f t="shared" si="42"/>
        <v>321674.36535999994</v>
      </c>
      <c r="V227" s="19">
        <f t="shared" si="39"/>
        <v>15353186.765359998</v>
      </c>
      <c r="W227" s="20" t="s">
        <v>1173</v>
      </c>
      <c r="X227" s="37">
        <v>0</v>
      </c>
      <c r="Y227" s="37">
        <v>0</v>
      </c>
      <c r="Z227" s="79">
        <v>0</v>
      </c>
      <c r="AA227" s="19">
        <f t="shared" si="34"/>
        <v>15353186.765359998</v>
      </c>
    </row>
    <row r="228" spans="1:34" s="12" customFormat="1" ht="93.75" customHeight="1" x14ac:dyDescent="0.25">
      <c r="A228" s="17">
        <f>IF(OR(D228=0,D228=""),"",COUNTA($D$19:D228))</f>
        <v>199</v>
      </c>
      <c r="B228" s="17" t="s">
        <v>746</v>
      </c>
      <c r="C228" s="90" t="s">
        <v>598</v>
      </c>
      <c r="D228" s="43">
        <v>1958</v>
      </c>
      <c r="E228" s="16">
        <v>2868.3</v>
      </c>
      <c r="F228" s="16">
        <v>1935.7</v>
      </c>
      <c r="G228" s="16">
        <v>74.8</v>
      </c>
      <c r="H228" s="17" t="s">
        <v>256</v>
      </c>
      <c r="I228" s="15"/>
      <c r="J228" s="16">
        <f>232*E228</f>
        <v>665445.60000000009</v>
      </c>
      <c r="K228" s="16"/>
      <c r="L228" s="16"/>
      <c r="M228" s="18"/>
      <c r="N228" s="16"/>
      <c r="O228" s="16"/>
      <c r="P228" s="16">
        <f t="shared" si="41"/>
        <v>5656287.6000000006</v>
      </c>
      <c r="Q228" s="16">
        <f>E228*113</f>
        <v>324117.90000000002</v>
      </c>
      <c r="R228" s="16">
        <f t="shared" si="40"/>
        <v>5498531.1000000006</v>
      </c>
      <c r="S228" s="16"/>
      <c r="T228" s="16"/>
      <c r="U228" s="16">
        <f t="shared" si="42"/>
        <v>259889.77908000004</v>
      </c>
      <c r="V228" s="19">
        <f t="shared" si="39"/>
        <v>12404271.979080003</v>
      </c>
      <c r="W228" s="20" t="s">
        <v>1173</v>
      </c>
      <c r="X228" s="37">
        <v>0</v>
      </c>
      <c r="Y228" s="37">
        <v>0</v>
      </c>
      <c r="Z228" s="79">
        <v>0</v>
      </c>
      <c r="AA228" s="19">
        <f t="shared" si="34"/>
        <v>12404271.979080003</v>
      </c>
    </row>
    <row r="229" spans="1:34" s="12" customFormat="1" ht="93.75" customHeight="1" x14ac:dyDescent="0.25">
      <c r="A229" s="17">
        <f>IF(OR(D229=0,D229=""),"",COUNTA($D$19:D229))</f>
        <v>200</v>
      </c>
      <c r="B229" s="17" t="s">
        <v>756</v>
      </c>
      <c r="C229" s="90" t="s">
        <v>71</v>
      </c>
      <c r="D229" s="43">
        <v>1958</v>
      </c>
      <c r="E229" s="16">
        <v>2890.78</v>
      </c>
      <c r="F229" s="16">
        <v>1215.3800000000001</v>
      </c>
      <c r="G229" s="16">
        <v>1449.3</v>
      </c>
      <c r="H229" s="17" t="s">
        <v>256</v>
      </c>
      <c r="I229" s="15"/>
      <c r="J229" s="16"/>
      <c r="K229" s="16">
        <f>412*E229</f>
        <v>1191001.3600000001</v>
      </c>
      <c r="L229" s="16"/>
      <c r="M229" s="18">
        <f>249*E229</f>
        <v>719804.22000000009</v>
      </c>
      <c r="N229" s="16">
        <f>117*E229</f>
        <v>338221.26</v>
      </c>
      <c r="O229" s="16"/>
      <c r="P229" s="16">
        <f t="shared" si="41"/>
        <v>5700618.1600000001</v>
      </c>
      <c r="Q229" s="16"/>
      <c r="R229" s="16">
        <f t="shared" si="40"/>
        <v>5541625.2600000007</v>
      </c>
      <c r="S229" s="16"/>
      <c r="T229" s="16"/>
      <c r="U229" s="16">
        <f t="shared" si="42"/>
        <v>288713.18356400001</v>
      </c>
      <c r="V229" s="19">
        <f t="shared" si="39"/>
        <v>13779983.443564001</v>
      </c>
      <c r="W229" s="20" t="s">
        <v>1173</v>
      </c>
      <c r="X229" s="37">
        <v>0</v>
      </c>
      <c r="Y229" s="37">
        <v>0</v>
      </c>
      <c r="Z229" s="79">
        <v>0</v>
      </c>
      <c r="AA229" s="19">
        <f t="shared" si="34"/>
        <v>13779983.443564001</v>
      </c>
    </row>
    <row r="230" spans="1:34" s="12" customFormat="1" ht="93.75" customHeight="1" x14ac:dyDescent="0.25">
      <c r="A230" s="17">
        <f>IF(OR(D230=0,D230=""),"",COUNTA($D$19:D230))</f>
        <v>201</v>
      </c>
      <c r="B230" s="17" t="s">
        <v>767</v>
      </c>
      <c r="C230" s="90" t="s">
        <v>77</v>
      </c>
      <c r="D230" s="43">
        <v>1958</v>
      </c>
      <c r="E230" s="16">
        <v>2403.8000000000002</v>
      </c>
      <c r="F230" s="16">
        <v>1780.9</v>
      </c>
      <c r="G230" s="16">
        <v>158.5</v>
      </c>
      <c r="H230" s="17" t="s">
        <v>257</v>
      </c>
      <c r="I230" s="15"/>
      <c r="J230" s="16"/>
      <c r="K230" s="16"/>
      <c r="L230" s="16"/>
      <c r="M230" s="16"/>
      <c r="N230" s="16"/>
      <c r="O230" s="16"/>
      <c r="P230" s="16">
        <f t="shared" si="41"/>
        <v>4740293.6000000006</v>
      </c>
      <c r="Q230" s="16"/>
      <c r="R230" s="16">
        <f t="shared" si="40"/>
        <v>4608084.6000000006</v>
      </c>
      <c r="S230" s="16"/>
      <c r="T230" s="16"/>
      <c r="U230" s="16">
        <f t="shared" si="42"/>
        <v>200055.29348000002</v>
      </c>
      <c r="V230" s="19">
        <f t="shared" si="39"/>
        <v>9548433.4934800006</v>
      </c>
      <c r="W230" s="20" t="s">
        <v>1173</v>
      </c>
      <c r="X230" s="37">
        <v>0</v>
      </c>
      <c r="Y230" s="37">
        <v>0</v>
      </c>
      <c r="Z230" s="79">
        <v>0</v>
      </c>
      <c r="AA230" s="19">
        <f t="shared" si="34"/>
        <v>9548433.4934800006</v>
      </c>
    </row>
    <row r="231" spans="1:34" s="12" customFormat="1" ht="93.75" customHeight="1" x14ac:dyDescent="0.25">
      <c r="A231" s="17">
        <f>IF(OR(D231=0,D231=""),"",COUNTA($D$19:D231))</f>
        <v>202</v>
      </c>
      <c r="B231" s="17" t="s">
        <v>1006</v>
      </c>
      <c r="C231" s="90" t="s">
        <v>199</v>
      </c>
      <c r="D231" s="43">
        <v>1958</v>
      </c>
      <c r="E231" s="16">
        <v>2767.9</v>
      </c>
      <c r="F231" s="16">
        <v>1601.4</v>
      </c>
      <c r="G231" s="16">
        <v>320.8</v>
      </c>
      <c r="H231" s="17" t="s">
        <v>254</v>
      </c>
      <c r="I231" s="15"/>
      <c r="J231" s="16">
        <f>E231*340</f>
        <v>941086</v>
      </c>
      <c r="K231" s="16">
        <f>E231*577</f>
        <v>1597078.3</v>
      </c>
      <c r="L231" s="23"/>
      <c r="M231" s="18">
        <f>E231*193</f>
        <v>534204.70000000007</v>
      </c>
      <c r="N231" s="16">
        <f>E231*136</f>
        <v>376434.4</v>
      </c>
      <c r="O231" s="16"/>
      <c r="P231" s="16"/>
      <c r="Q231" s="16"/>
      <c r="R231" s="16"/>
      <c r="S231" s="16"/>
      <c r="T231" s="23"/>
      <c r="U231" s="15"/>
      <c r="V231" s="19">
        <f t="shared" si="39"/>
        <v>3448803.4</v>
      </c>
      <c r="W231" s="20" t="s">
        <v>1173</v>
      </c>
      <c r="X231" s="37">
        <v>0</v>
      </c>
      <c r="Y231" s="37">
        <v>0</v>
      </c>
      <c r="Z231" s="79">
        <v>0</v>
      </c>
      <c r="AA231" s="19">
        <f t="shared" si="34"/>
        <v>3448803.4</v>
      </c>
    </row>
    <row r="232" spans="1:34" s="12" customFormat="1" ht="93.75" customHeight="1" x14ac:dyDescent="0.25">
      <c r="A232" s="17">
        <f>IF(OR(D232=0,D232=""),"",COUNTA($D$19:D232))</f>
        <v>203</v>
      </c>
      <c r="B232" s="17" t="s">
        <v>831</v>
      </c>
      <c r="C232" s="90" t="s">
        <v>114</v>
      </c>
      <c r="D232" s="43">
        <v>1959</v>
      </c>
      <c r="E232" s="16">
        <v>4105.5</v>
      </c>
      <c r="F232" s="16">
        <v>2550.8000000000002</v>
      </c>
      <c r="G232" s="16">
        <v>33.1</v>
      </c>
      <c r="H232" s="17" t="s">
        <v>256</v>
      </c>
      <c r="I232" s="15"/>
      <c r="J232" s="16">
        <f>232*E232</f>
        <v>952476</v>
      </c>
      <c r="K232" s="16">
        <f>412*E232</f>
        <v>1691466</v>
      </c>
      <c r="L232" s="16"/>
      <c r="M232" s="18">
        <f>249*E232</f>
        <v>1022269.5</v>
      </c>
      <c r="N232" s="16">
        <f>117*E232</f>
        <v>480343.5</v>
      </c>
      <c r="O232" s="16"/>
      <c r="P232" s="16"/>
      <c r="Q232" s="16">
        <f>E232*113</f>
        <v>463921.5</v>
      </c>
      <c r="R232" s="16"/>
      <c r="S232" s="16">
        <f>E232*90</f>
        <v>369495</v>
      </c>
      <c r="T232" s="16"/>
      <c r="U232" s="15"/>
      <c r="V232" s="19">
        <f t="shared" si="39"/>
        <v>4979971.5</v>
      </c>
      <c r="W232" s="20" t="s">
        <v>1173</v>
      </c>
      <c r="X232" s="37">
        <v>0</v>
      </c>
      <c r="Y232" s="37">
        <v>0</v>
      </c>
      <c r="Z232" s="79">
        <v>0</v>
      </c>
      <c r="AA232" s="19">
        <f t="shared" si="34"/>
        <v>4979971.5</v>
      </c>
    </row>
    <row r="233" spans="1:34" s="12" customFormat="1" ht="93.75" customHeight="1" x14ac:dyDescent="0.25">
      <c r="A233" s="17">
        <f>IF(OR(D233=0,D233=""),"",COUNTA($D$19:D233))</f>
        <v>204</v>
      </c>
      <c r="B233" s="17" t="s">
        <v>764</v>
      </c>
      <c r="C233" s="90" t="s">
        <v>262</v>
      </c>
      <c r="D233" s="43">
        <v>1994</v>
      </c>
      <c r="E233" s="16">
        <v>3868.2</v>
      </c>
      <c r="F233" s="16">
        <v>2372.8000000000002</v>
      </c>
      <c r="G233" s="16">
        <v>326.8</v>
      </c>
      <c r="H233" s="17" t="s">
        <v>255</v>
      </c>
      <c r="I233" s="15">
        <v>1</v>
      </c>
      <c r="J233" s="16"/>
      <c r="K233" s="16"/>
      <c r="L233" s="16"/>
      <c r="M233" s="18"/>
      <c r="N233" s="16"/>
      <c r="O233" s="16">
        <f t="shared" ref="O233" si="43">2150000*I233</f>
        <v>2150000</v>
      </c>
      <c r="P233" s="16"/>
      <c r="Q233" s="16"/>
      <c r="R233" s="16"/>
      <c r="S233" s="16"/>
      <c r="T233" s="16">
        <f>48*E233</f>
        <v>185673.59999999998</v>
      </c>
      <c r="U233" s="16"/>
      <c r="V233" s="19">
        <f t="shared" si="39"/>
        <v>2335673.6</v>
      </c>
      <c r="W233" s="20" t="s">
        <v>1173</v>
      </c>
      <c r="X233" s="37">
        <v>0</v>
      </c>
      <c r="Y233" s="37">
        <v>0</v>
      </c>
      <c r="Z233" s="79">
        <v>0</v>
      </c>
      <c r="AA233" s="19">
        <f t="shared" si="34"/>
        <v>2335673.6</v>
      </c>
    </row>
    <row r="234" spans="1:34" s="14" customFormat="1" ht="93.75" customHeight="1" x14ac:dyDescent="0.25">
      <c r="A234" s="17">
        <f>IF(OR(D234=0,D234=""),"",COUNTA($D$19:D234))</f>
        <v>205</v>
      </c>
      <c r="B234" s="17" t="s">
        <v>894</v>
      </c>
      <c r="C234" s="90" t="s">
        <v>263</v>
      </c>
      <c r="D234" s="43">
        <v>1964</v>
      </c>
      <c r="E234" s="16">
        <v>4935.7</v>
      </c>
      <c r="F234" s="16">
        <v>2789.7</v>
      </c>
      <c r="G234" s="16">
        <v>1151.5999999999999</v>
      </c>
      <c r="H234" s="17" t="s">
        <v>257</v>
      </c>
      <c r="I234" s="15"/>
      <c r="J234" s="16"/>
      <c r="K234" s="16"/>
      <c r="L234" s="16"/>
      <c r="M234" s="16"/>
      <c r="N234" s="16"/>
      <c r="O234" s="15"/>
      <c r="P234" s="16">
        <f>1972*E234</f>
        <v>9733200.4000000004</v>
      </c>
      <c r="Q234" s="16"/>
      <c r="R234" s="16">
        <f>E234*1917</f>
        <v>9461736.9000000004</v>
      </c>
      <c r="S234" s="16"/>
      <c r="T234" s="16"/>
      <c r="U234" s="16"/>
      <c r="V234" s="19">
        <f t="shared" si="39"/>
        <v>19194937.300000001</v>
      </c>
      <c r="W234" s="20" t="s">
        <v>1173</v>
      </c>
      <c r="X234" s="37">
        <v>0</v>
      </c>
      <c r="Y234" s="37">
        <v>0</v>
      </c>
      <c r="Z234" s="79">
        <v>0</v>
      </c>
      <c r="AA234" s="19">
        <f t="shared" si="34"/>
        <v>19194937.300000001</v>
      </c>
    </row>
    <row r="235" spans="1:34" s="14" customFormat="1" ht="93.75" customHeight="1" x14ac:dyDescent="0.25">
      <c r="A235" s="17">
        <f>IF(OR(D235=0,D235=""),"",COUNTA($D$19:D235))</f>
        <v>206</v>
      </c>
      <c r="B235" s="17" t="s">
        <v>742</v>
      </c>
      <c r="C235" s="90" t="s">
        <v>608</v>
      </c>
      <c r="D235" s="43">
        <v>1971</v>
      </c>
      <c r="E235" s="16">
        <v>6498.9</v>
      </c>
      <c r="F235" s="16">
        <v>4840.3999999999996</v>
      </c>
      <c r="G235" s="16">
        <v>0</v>
      </c>
      <c r="H235" s="17" t="s">
        <v>257</v>
      </c>
      <c r="I235" s="15"/>
      <c r="J235" s="16"/>
      <c r="K235" s="16"/>
      <c r="L235" s="16"/>
      <c r="M235" s="18"/>
      <c r="N235" s="16"/>
      <c r="O235" s="15"/>
      <c r="P235" s="16">
        <f>1972*E235</f>
        <v>12815830.799999999</v>
      </c>
      <c r="Q235" s="16"/>
      <c r="R235" s="16">
        <f>E235*1917</f>
        <v>12458391.299999999</v>
      </c>
      <c r="S235" s="16"/>
      <c r="T235" s="16"/>
      <c r="U235" s="16"/>
      <c r="V235" s="19">
        <f t="shared" si="39"/>
        <v>25274222.099999998</v>
      </c>
      <c r="W235" s="20" t="s">
        <v>1173</v>
      </c>
      <c r="X235" s="37">
        <v>0</v>
      </c>
      <c r="Y235" s="37">
        <v>0</v>
      </c>
      <c r="Z235" s="79">
        <v>0</v>
      </c>
      <c r="AA235" s="19">
        <f t="shared" si="34"/>
        <v>25274222.099999998</v>
      </c>
    </row>
    <row r="236" spans="1:34" s="14" customFormat="1" ht="93.75" customHeight="1" x14ac:dyDescent="0.25">
      <c r="A236" s="17">
        <f>IF(OR(D236=0,D236=""),"",COUNTA($D$19:D236))</f>
        <v>207</v>
      </c>
      <c r="B236" s="17" t="s">
        <v>741</v>
      </c>
      <c r="C236" s="90" t="s">
        <v>602</v>
      </c>
      <c r="D236" s="43">
        <v>1977</v>
      </c>
      <c r="E236" s="16">
        <v>5397.83</v>
      </c>
      <c r="F236" s="16">
        <v>3235.65</v>
      </c>
      <c r="G236" s="16">
        <v>2162.1999999999998</v>
      </c>
      <c r="H236" s="17" t="s">
        <v>257</v>
      </c>
      <c r="I236" s="15"/>
      <c r="J236" s="16"/>
      <c r="K236" s="16"/>
      <c r="L236" s="16"/>
      <c r="M236" s="18"/>
      <c r="N236" s="16"/>
      <c r="O236" s="15"/>
      <c r="P236" s="16">
        <f>1972*E236</f>
        <v>10644520.76</v>
      </c>
      <c r="Q236" s="16"/>
      <c r="R236" s="16"/>
      <c r="S236" s="16"/>
      <c r="T236" s="16"/>
      <c r="U236" s="16"/>
      <c r="V236" s="19">
        <f t="shared" si="39"/>
        <v>10644520.76</v>
      </c>
      <c r="W236" s="20" t="s">
        <v>1173</v>
      </c>
      <c r="X236" s="37">
        <v>0</v>
      </c>
      <c r="Y236" s="37">
        <v>0</v>
      </c>
      <c r="Z236" s="79">
        <v>0</v>
      </c>
      <c r="AA236" s="19">
        <f t="shared" ref="AA236:AA253" si="44">V236-(X236+Y236+Z236)</f>
        <v>10644520.76</v>
      </c>
    </row>
    <row r="237" spans="1:34" s="14" customFormat="1" ht="93.75" customHeight="1" x14ac:dyDescent="0.25">
      <c r="A237" s="17">
        <f>IF(OR(D237=0,D237=""),"",COUNTA($D$19:D237))</f>
        <v>208</v>
      </c>
      <c r="B237" s="17" t="s">
        <v>1035</v>
      </c>
      <c r="C237" s="90" t="s">
        <v>268</v>
      </c>
      <c r="D237" s="43">
        <v>1976</v>
      </c>
      <c r="E237" s="16">
        <v>5767.3</v>
      </c>
      <c r="F237" s="16">
        <v>4403.1000000000004</v>
      </c>
      <c r="G237" s="16">
        <v>0</v>
      </c>
      <c r="H237" s="17" t="s">
        <v>257</v>
      </c>
      <c r="I237" s="15"/>
      <c r="J237" s="16"/>
      <c r="K237" s="16"/>
      <c r="L237" s="16"/>
      <c r="M237" s="18"/>
      <c r="N237" s="16"/>
      <c r="O237" s="15"/>
      <c r="P237" s="16">
        <f>1972*E237</f>
        <v>11373115.6</v>
      </c>
      <c r="Q237" s="16"/>
      <c r="R237" s="16"/>
      <c r="S237" s="16"/>
      <c r="T237" s="16"/>
      <c r="U237" s="16"/>
      <c r="V237" s="19">
        <f t="shared" si="39"/>
        <v>11373115.6</v>
      </c>
      <c r="W237" s="20" t="s">
        <v>1173</v>
      </c>
      <c r="X237" s="37">
        <v>0</v>
      </c>
      <c r="Y237" s="37">
        <v>0</v>
      </c>
      <c r="Z237" s="79">
        <v>0</v>
      </c>
      <c r="AA237" s="19">
        <f t="shared" si="44"/>
        <v>11373115.6</v>
      </c>
    </row>
    <row r="238" spans="1:34" s="14" customFormat="1" ht="93.75" customHeight="1" x14ac:dyDescent="0.25">
      <c r="A238" s="17">
        <f>IF(OR(D238=0,D238=""),"",COUNTA($D$19:D238))</f>
        <v>209</v>
      </c>
      <c r="B238" s="17" t="s">
        <v>1008</v>
      </c>
      <c r="C238" s="90" t="s">
        <v>269</v>
      </c>
      <c r="D238" s="43">
        <v>1994</v>
      </c>
      <c r="E238" s="16">
        <v>11244.2</v>
      </c>
      <c r="F238" s="16">
        <v>7799.1</v>
      </c>
      <c r="G238" s="16">
        <v>0</v>
      </c>
      <c r="H238" s="17" t="s">
        <v>255</v>
      </c>
      <c r="I238" s="15"/>
      <c r="J238" s="16"/>
      <c r="K238" s="16"/>
      <c r="L238" s="16"/>
      <c r="M238" s="18"/>
      <c r="N238" s="16"/>
      <c r="O238" s="15"/>
      <c r="P238" s="16">
        <f>E238*346</f>
        <v>3890493.2</v>
      </c>
      <c r="Q238" s="16"/>
      <c r="R238" s="16"/>
      <c r="S238" s="16"/>
      <c r="T238" s="16"/>
      <c r="U238" s="16"/>
      <c r="V238" s="19">
        <f t="shared" si="39"/>
        <v>3890493.2</v>
      </c>
      <c r="W238" s="20" t="s">
        <v>1173</v>
      </c>
      <c r="X238" s="37">
        <v>0</v>
      </c>
      <c r="Y238" s="37">
        <v>0</v>
      </c>
      <c r="Z238" s="79">
        <v>0</v>
      </c>
      <c r="AA238" s="19">
        <f t="shared" si="44"/>
        <v>3890493.2</v>
      </c>
    </row>
    <row r="239" spans="1:34" s="14" customFormat="1" ht="93.75" customHeight="1" x14ac:dyDescent="0.25">
      <c r="A239" s="17">
        <f>IF(OR(D239=0,D239=""),"",COUNTA($D$19:D239))</f>
        <v>210</v>
      </c>
      <c r="B239" s="17" t="s">
        <v>866</v>
      </c>
      <c r="C239" s="90" t="s">
        <v>270</v>
      </c>
      <c r="D239" s="43">
        <v>1971</v>
      </c>
      <c r="E239" s="16">
        <v>12802.4</v>
      </c>
      <c r="F239" s="16">
        <v>9016.5</v>
      </c>
      <c r="G239" s="16">
        <v>2432.1</v>
      </c>
      <c r="H239" s="17" t="s">
        <v>255</v>
      </c>
      <c r="I239" s="15"/>
      <c r="J239" s="16"/>
      <c r="K239" s="16"/>
      <c r="L239" s="16"/>
      <c r="M239" s="18"/>
      <c r="N239" s="16"/>
      <c r="O239" s="15"/>
      <c r="P239" s="16">
        <f>E239*346</f>
        <v>4429630.3999999994</v>
      </c>
      <c r="Q239" s="16"/>
      <c r="R239" s="16"/>
      <c r="S239" s="16"/>
      <c r="T239" s="16"/>
      <c r="U239" s="16"/>
      <c r="V239" s="19">
        <f t="shared" si="39"/>
        <v>4429630.3999999994</v>
      </c>
      <c r="W239" s="20" t="s">
        <v>1173</v>
      </c>
      <c r="X239" s="37">
        <v>0</v>
      </c>
      <c r="Y239" s="37">
        <v>0</v>
      </c>
      <c r="Z239" s="79">
        <v>0</v>
      </c>
      <c r="AA239" s="19">
        <f t="shared" si="44"/>
        <v>4429630.3999999994</v>
      </c>
    </row>
    <row r="240" spans="1:34" s="14" customFormat="1" ht="93.75" customHeight="1" x14ac:dyDescent="0.25">
      <c r="A240" s="17">
        <f>IF(OR(D240=0,D240=""),"",COUNTA($D$19:D240))</f>
        <v>211</v>
      </c>
      <c r="B240" s="17" t="s">
        <v>869</v>
      </c>
      <c r="C240" s="90" t="s">
        <v>285</v>
      </c>
      <c r="D240" s="43">
        <v>1963</v>
      </c>
      <c r="E240" s="16">
        <v>4286.2</v>
      </c>
      <c r="F240" s="16">
        <v>2590.3000000000002</v>
      </c>
      <c r="G240" s="16">
        <v>1375.1</v>
      </c>
      <c r="H240" s="17" t="s">
        <v>257</v>
      </c>
      <c r="I240" s="15"/>
      <c r="J240" s="16"/>
      <c r="K240" s="16">
        <f>412*E240</f>
        <v>1765914.4</v>
      </c>
      <c r="L240" s="16"/>
      <c r="M240" s="16">
        <f>249*E240</f>
        <v>1067263.8</v>
      </c>
      <c r="N240" s="16">
        <f>117*E240</f>
        <v>501485.39999999997</v>
      </c>
      <c r="O240" s="15"/>
      <c r="P240" s="16"/>
      <c r="Q240" s="16"/>
      <c r="R240" s="16"/>
      <c r="S240" s="16"/>
      <c r="T240" s="16"/>
      <c r="U240" s="16"/>
      <c r="V240" s="19">
        <f t="shared" si="39"/>
        <v>3334663.6</v>
      </c>
      <c r="W240" s="20" t="s">
        <v>1173</v>
      </c>
      <c r="X240" s="37">
        <v>0</v>
      </c>
      <c r="Y240" s="37">
        <v>0</v>
      </c>
      <c r="Z240" s="79">
        <v>0</v>
      </c>
      <c r="AA240" s="19">
        <f t="shared" si="44"/>
        <v>3334663.6</v>
      </c>
    </row>
    <row r="241" spans="1:27" s="14" customFormat="1" ht="93.75" customHeight="1" x14ac:dyDescent="0.25">
      <c r="A241" s="17">
        <f>IF(OR(D241=0,D241=""),"",COUNTA($D$19:D241))</f>
        <v>212</v>
      </c>
      <c r="B241" s="17" t="s">
        <v>718</v>
      </c>
      <c r="C241" s="90" t="s">
        <v>286</v>
      </c>
      <c r="D241" s="43">
        <v>1983</v>
      </c>
      <c r="E241" s="16">
        <v>30558</v>
      </c>
      <c r="F241" s="16">
        <v>22726.7</v>
      </c>
      <c r="G241" s="16">
        <v>311.8</v>
      </c>
      <c r="H241" s="17" t="s">
        <v>255</v>
      </c>
      <c r="I241" s="15"/>
      <c r="J241" s="16"/>
      <c r="K241" s="16"/>
      <c r="L241" s="16"/>
      <c r="M241" s="18"/>
      <c r="N241" s="16"/>
      <c r="O241" s="15"/>
      <c r="P241" s="16">
        <f>E241*346</f>
        <v>10573068</v>
      </c>
      <c r="Q241" s="16"/>
      <c r="R241" s="16"/>
      <c r="S241" s="16"/>
      <c r="T241" s="16"/>
      <c r="U241" s="16"/>
      <c r="V241" s="19">
        <f t="shared" si="39"/>
        <v>10573068</v>
      </c>
      <c r="W241" s="20" t="s">
        <v>1173</v>
      </c>
      <c r="X241" s="37">
        <v>0</v>
      </c>
      <c r="Y241" s="37">
        <v>0</v>
      </c>
      <c r="Z241" s="79">
        <v>0</v>
      </c>
      <c r="AA241" s="19">
        <f t="shared" si="44"/>
        <v>10573068</v>
      </c>
    </row>
    <row r="242" spans="1:27" s="14" customFormat="1" ht="93.75" customHeight="1" x14ac:dyDescent="0.25">
      <c r="A242" s="17">
        <f>IF(OR(D242=0,D242=""),"",COUNTA($D$19:D242))</f>
        <v>213</v>
      </c>
      <c r="B242" s="17" t="s">
        <v>924</v>
      </c>
      <c r="C242" s="90" t="s">
        <v>169</v>
      </c>
      <c r="D242" s="43">
        <v>1966</v>
      </c>
      <c r="E242" s="16">
        <v>7641.9</v>
      </c>
      <c r="F242" s="16">
        <v>4703.5</v>
      </c>
      <c r="G242" s="16">
        <v>2938.4</v>
      </c>
      <c r="H242" s="17" t="s">
        <v>257</v>
      </c>
      <c r="I242" s="15"/>
      <c r="J242" s="16"/>
      <c r="K242" s="16"/>
      <c r="L242" s="16"/>
      <c r="M242" s="18"/>
      <c r="N242" s="16"/>
      <c r="O242" s="15"/>
      <c r="P242" s="16">
        <f>1972*E242</f>
        <v>15069826.799999999</v>
      </c>
      <c r="Q242" s="16"/>
      <c r="R242" s="16">
        <f>E242*1917</f>
        <v>14649522.299999999</v>
      </c>
      <c r="S242" s="16"/>
      <c r="T242" s="16"/>
      <c r="U242" s="16"/>
      <c r="V242" s="19">
        <f t="shared" si="39"/>
        <v>29719349.099999998</v>
      </c>
      <c r="W242" s="20" t="s">
        <v>1173</v>
      </c>
      <c r="X242" s="37">
        <v>0</v>
      </c>
      <c r="Y242" s="37">
        <v>0</v>
      </c>
      <c r="Z242" s="79">
        <v>0</v>
      </c>
      <c r="AA242" s="19">
        <f t="shared" si="44"/>
        <v>29719349.099999998</v>
      </c>
    </row>
    <row r="243" spans="1:27" s="12" customFormat="1" ht="93.75" customHeight="1" x14ac:dyDescent="0.25">
      <c r="A243" s="17">
        <f>IF(OR(D243=0,D243=""),"",COUNTA($D$19:D243))</f>
        <v>214</v>
      </c>
      <c r="B243" s="17" t="s">
        <v>740</v>
      </c>
      <c r="C243" s="90" t="s">
        <v>601</v>
      </c>
      <c r="D243" s="43">
        <v>1972</v>
      </c>
      <c r="E243" s="16">
        <v>7664.8</v>
      </c>
      <c r="F243" s="16">
        <v>5976.1</v>
      </c>
      <c r="G243" s="16">
        <v>1688.7</v>
      </c>
      <c r="H243" s="17" t="s">
        <v>257</v>
      </c>
      <c r="I243" s="15"/>
      <c r="J243" s="16">
        <f>232*E243</f>
        <v>1778233.6</v>
      </c>
      <c r="K243" s="16"/>
      <c r="L243" s="16"/>
      <c r="M243" s="18"/>
      <c r="N243" s="16"/>
      <c r="O243" s="16"/>
      <c r="P243" s="16"/>
      <c r="Q243" s="16">
        <f>E243*113</f>
        <v>866122.4</v>
      </c>
      <c r="R243" s="16">
        <f>E243*1917</f>
        <v>14693421.6</v>
      </c>
      <c r="S243" s="16">
        <f>E243*90</f>
        <v>689832</v>
      </c>
      <c r="T243" s="16"/>
      <c r="U243" s="16">
        <f>(J243+K243+L243+M243+N243+O243+P243+Q243+R243+S243+T243)*0.0214</f>
        <v>385790.84544</v>
      </c>
      <c r="V243" s="19">
        <f t="shared" si="39"/>
        <v>18413400.445440002</v>
      </c>
      <c r="W243" s="20" t="s">
        <v>1173</v>
      </c>
      <c r="X243" s="37">
        <v>0</v>
      </c>
      <c r="Y243" s="37">
        <v>0</v>
      </c>
      <c r="Z243" s="79">
        <v>0</v>
      </c>
      <c r="AA243" s="19">
        <f t="shared" si="44"/>
        <v>18413400.445440002</v>
      </c>
    </row>
    <row r="244" spans="1:27" s="12" customFormat="1" ht="93.75" customHeight="1" x14ac:dyDescent="0.25">
      <c r="A244" s="17">
        <f>IF(OR(D244=0,D244=""),"",COUNTA($D$19:D244))</f>
        <v>215</v>
      </c>
      <c r="B244" s="17" t="s">
        <v>765</v>
      </c>
      <c r="C244" s="90" t="s">
        <v>301</v>
      </c>
      <c r="D244" s="43">
        <v>1975</v>
      </c>
      <c r="E244" s="16">
        <v>5829.9</v>
      </c>
      <c r="F244" s="16">
        <v>4411.8</v>
      </c>
      <c r="G244" s="16">
        <v>0</v>
      </c>
      <c r="H244" s="17" t="s">
        <v>257</v>
      </c>
      <c r="I244" s="15"/>
      <c r="J244" s="16"/>
      <c r="K244" s="16"/>
      <c r="L244" s="23"/>
      <c r="M244" s="24"/>
      <c r="N244" s="16"/>
      <c r="O244" s="16"/>
      <c r="P244" s="16">
        <f>1972*E244</f>
        <v>11496562.799999999</v>
      </c>
      <c r="Q244" s="23"/>
      <c r="R244" s="23"/>
      <c r="S244" s="23"/>
      <c r="T244" s="23"/>
      <c r="U244" s="16"/>
      <c r="V244" s="19">
        <f t="shared" si="39"/>
        <v>11496562.799999999</v>
      </c>
      <c r="W244" s="20" t="s">
        <v>1173</v>
      </c>
      <c r="X244" s="37">
        <v>0</v>
      </c>
      <c r="Y244" s="37">
        <v>0</v>
      </c>
      <c r="Z244" s="79">
        <v>0</v>
      </c>
      <c r="AA244" s="19">
        <f t="shared" si="44"/>
        <v>11496562.799999999</v>
      </c>
    </row>
    <row r="245" spans="1:27" s="12" customFormat="1" ht="93.75" customHeight="1" x14ac:dyDescent="0.25">
      <c r="A245" s="17">
        <f>IF(OR(D245=0,D245=""),"",COUNTA($D$19:D245))</f>
        <v>216</v>
      </c>
      <c r="B245" s="17" t="s">
        <v>939</v>
      </c>
      <c r="C245" s="90" t="s">
        <v>291</v>
      </c>
      <c r="D245" s="43">
        <v>1953</v>
      </c>
      <c r="E245" s="16">
        <v>3125.1</v>
      </c>
      <c r="F245" s="16">
        <v>1899.9</v>
      </c>
      <c r="G245" s="16">
        <v>697.9</v>
      </c>
      <c r="H245" s="17" t="s">
        <v>406</v>
      </c>
      <c r="I245" s="15"/>
      <c r="J245" s="16"/>
      <c r="K245" s="16">
        <f>E245*1062</f>
        <v>3318856.1999999997</v>
      </c>
      <c r="L245" s="16"/>
      <c r="M245" s="18">
        <f>E245*425</f>
        <v>1328167.5</v>
      </c>
      <c r="N245" s="16">
        <f>E245*252</f>
        <v>787525.2</v>
      </c>
      <c r="O245" s="16"/>
      <c r="P245" s="16"/>
      <c r="Q245" s="16"/>
      <c r="R245" s="16"/>
      <c r="S245" s="16"/>
      <c r="T245" s="16"/>
      <c r="U245" s="16"/>
      <c r="V245" s="19">
        <f t="shared" si="39"/>
        <v>5434548.8999999994</v>
      </c>
      <c r="W245" s="20" t="s">
        <v>1173</v>
      </c>
      <c r="X245" s="37">
        <v>0</v>
      </c>
      <c r="Y245" s="37">
        <v>0</v>
      </c>
      <c r="Z245" s="79">
        <v>0</v>
      </c>
      <c r="AA245" s="19">
        <f t="shared" si="44"/>
        <v>5434548.8999999994</v>
      </c>
    </row>
    <row r="246" spans="1:27" s="12" customFormat="1" ht="93.75" customHeight="1" x14ac:dyDescent="0.25">
      <c r="A246" s="17">
        <f>IF(OR(D246=0,D246=""),"",COUNTA($D$19:D246))</f>
        <v>217</v>
      </c>
      <c r="B246" s="17" t="s">
        <v>942</v>
      </c>
      <c r="C246" s="90" t="s">
        <v>292</v>
      </c>
      <c r="D246" s="43">
        <v>1965</v>
      </c>
      <c r="E246" s="16">
        <v>4053.7</v>
      </c>
      <c r="F246" s="16">
        <v>2599</v>
      </c>
      <c r="G246" s="16">
        <v>734.6</v>
      </c>
      <c r="H246" s="17" t="s">
        <v>257</v>
      </c>
      <c r="I246" s="15"/>
      <c r="J246" s="16"/>
      <c r="K246" s="16"/>
      <c r="L246" s="16"/>
      <c r="M246" s="18"/>
      <c r="N246" s="16"/>
      <c r="O246" s="16"/>
      <c r="P246" s="16">
        <f>1972*E246</f>
        <v>7993896.3999999994</v>
      </c>
      <c r="Q246" s="16"/>
      <c r="R246" s="16"/>
      <c r="S246" s="16"/>
      <c r="T246" s="16"/>
      <c r="U246" s="16"/>
      <c r="V246" s="19">
        <f t="shared" si="39"/>
        <v>7993896.3999999994</v>
      </c>
      <c r="W246" s="20" t="s">
        <v>1173</v>
      </c>
      <c r="X246" s="37">
        <v>0</v>
      </c>
      <c r="Y246" s="37">
        <v>0</v>
      </c>
      <c r="Z246" s="79">
        <v>0</v>
      </c>
      <c r="AA246" s="19">
        <f t="shared" si="44"/>
        <v>7993896.3999999994</v>
      </c>
    </row>
    <row r="247" spans="1:27" s="12" customFormat="1" ht="93.75" customHeight="1" x14ac:dyDescent="0.25">
      <c r="A247" s="17">
        <f>IF(OR(D247=0,D247=""),"",COUNTA($D$19:D247))</f>
        <v>218</v>
      </c>
      <c r="B247" s="17" t="s">
        <v>1039</v>
      </c>
      <c r="C247" s="90" t="s">
        <v>297</v>
      </c>
      <c r="D247" s="43">
        <v>1917</v>
      </c>
      <c r="E247" s="16">
        <v>257.10000000000002</v>
      </c>
      <c r="F247" s="16">
        <v>144.30000000000001</v>
      </c>
      <c r="G247" s="16">
        <v>0</v>
      </c>
      <c r="H247" s="17" t="s">
        <v>250</v>
      </c>
      <c r="I247" s="15"/>
      <c r="J247" s="16"/>
      <c r="K247" s="16"/>
      <c r="L247" s="23"/>
      <c r="M247" s="24"/>
      <c r="N247" s="16"/>
      <c r="O247" s="16"/>
      <c r="P247" s="16"/>
      <c r="Q247" s="23"/>
      <c r="R247" s="16">
        <f>E247*1853</f>
        <v>476406.30000000005</v>
      </c>
      <c r="S247" s="23"/>
      <c r="T247" s="23"/>
      <c r="U247" s="16"/>
      <c r="V247" s="19">
        <f t="shared" si="39"/>
        <v>476406.30000000005</v>
      </c>
      <c r="W247" s="20" t="s">
        <v>1173</v>
      </c>
      <c r="X247" s="37">
        <v>0</v>
      </c>
      <c r="Y247" s="37">
        <v>0</v>
      </c>
      <c r="Z247" s="79">
        <v>0</v>
      </c>
      <c r="AA247" s="19">
        <f t="shared" si="44"/>
        <v>476406.30000000005</v>
      </c>
    </row>
    <row r="248" spans="1:27" s="12" customFormat="1" ht="93.75" customHeight="1" x14ac:dyDescent="0.25">
      <c r="A248" s="17">
        <f>IF(OR(D248=0,D248=""),"",COUNTA($D$19:D248))</f>
        <v>219</v>
      </c>
      <c r="B248" s="17" t="s">
        <v>828</v>
      </c>
      <c r="C248" s="91" t="s">
        <v>332</v>
      </c>
      <c r="D248" s="50">
        <v>1970</v>
      </c>
      <c r="E248" s="16">
        <f>F248+G248</f>
        <v>5079</v>
      </c>
      <c r="F248" s="16">
        <v>4099</v>
      </c>
      <c r="G248" s="16">
        <v>980</v>
      </c>
      <c r="H248" s="17" t="s">
        <v>257</v>
      </c>
      <c r="I248" s="15"/>
      <c r="J248" s="16"/>
      <c r="K248" s="16"/>
      <c r="L248" s="23"/>
      <c r="M248" s="24"/>
      <c r="N248" s="16"/>
      <c r="O248" s="16"/>
      <c r="P248" s="16"/>
      <c r="Q248" s="23"/>
      <c r="R248" s="16">
        <f>E248*1917</f>
        <v>9736443</v>
      </c>
      <c r="S248" s="23"/>
      <c r="T248" s="23"/>
      <c r="U248" s="16"/>
      <c r="V248" s="19">
        <f t="shared" si="39"/>
        <v>9736443</v>
      </c>
      <c r="W248" s="20" t="s">
        <v>1173</v>
      </c>
      <c r="X248" s="37">
        <v>0</v>
      </c>
      <c r="Y248" s="37">
        <v>0</v>
      </c>
      <c r="Z248" s="79">
        <v>0</v>
      </c>
      <c r="AA248" s="19">
        <f t="shared" si="44"/>
        <v>9736443</v>
      </c>
    </row>
    <row r="249" spans="1:27" s="12" customFormat="1" ht="93.75" customHeight="1" x14ac:dyDescent="0.25">
      <c r="A249" s="17">
        <f>IF(OR(D249=0,D249=""),"",COUNTA($D$19:D249))</f>
        <v>220</v>
      </c>
      <c r="B249" s="17" t="s">
        <v>991</v>
      </c>
      <c r="C249" s="91" t="s">
        <v>333</v>
      </c>
      <c r="D249" s="50">
        <v>1990</v>
      </c>
      <c r="E249" s="16">
        <v>7776.9</v>
      </c>
      <c r="F249" s="36">
        <v>5900.1</v>
      </c>
      <c r="G249" s="16">
        <v>0</v>
      </c>
      <c r="H249" s="17" t="s">
        <v>255</v>
      </c>
      <c r="I249" s="15">
        <v>3</v>
      </c>
      <c r="J249" s="16"/>
      <c r="K249" s="16"/>
      <c r="L249" s="23"/>
      <c r="M249" s="24"/>
      <c r="N249" s="16"/>
      <c r="O249" s="16"/>
      <c r="P249" s="16">
        <f>E249*346</f>
        <v>2690807.4</v>
      </c>
      <c r="Q249" s="23"/>
      <c r="R249" s="23"/>
      <c r="S249" s="23"/>
      <c r="T249" s="16"/>
      <c r="U249" s="16"/>
      <c r="V249" s="19">
        <f t="shared" si="39"/>
        <v>2690807.4</v>
      </c>
      <c r="W249" s="20" t="s">
        <v>1173</v>
      </c>
      <c r="X249" s="37">
        <v>0</v>
      </c>
      <c r="Y249" s="37">
        <v>0</v>
      </c>
      <c r="Z249" s="79">
        <v>0</v>
      </c>
      <c r="AA249" s="19">
        <f t="shared" si="44"/>
        <v>2690807.4</v>
      </c>
    </row>
    <row r="250" spans="1:27" s="12" customFormat="1" ht="93.75" customHeight="1" x14ac:dyDescent="0.25">
      <c r="A250" s="17">
        <f>IF(OR(D250=0,D250=""),"",COUNTA($D$19:D250))</f>
        <v>221</v>
      </c>
      <c r="B250" s="17" t="s">
        <v>992</v>
      </c>
      <c r="C250" s="91" t="s">
        <v>334</v>
      </c>
      <c r="D250" s="50">
        <v>1970</v>
      </c>
      <c r="E250" s="36">
        <v>4715.5</v>
      </c>
      <c r="F250" s="36">
        <v>995.3</v>
      </c>
      <c r="G250" s="36">
        <v>202.3</v>
      </c>
      <c r="H250" s="17" t="s">
        <v>257</v>
      </c>
      <c r="I250" s="15"/>
      <c r="J250" s="16"/>
      <c r="K250" s="16"/>
      <c r="L250" s="23"/>
      <c r="M250" s="24"/>
      <c r="N250" s="16"/>
      <c r="O250" s="16"/>
      <c r="P250" s="16">
        <f>1972*E250</f>
        <v>9298966</v>
      </c>
      <c r="Q250" s="23"/>
      <c r="R250" s="23"/>
      <c r="S250" s="23"/>
      <c r="T250" s="23"/>
      <c r="U250" s="16"/>
      <c r="V250" s="19">
        <f t="shared" si="39"/>
        <v>9298966</v>
      </c>
      <c r="W250" s="20" t="s">
        <v>1173</v>
      </c>
      <c r="X250" s="37">
        <v>0</v>
      </c>
      <c r="Y250" s="37">
        <v>0</v>
      </c>
      <c r="Z250" s="79">
        <v>0</v>
      </c>
      <c r="AA250" s="19">
        <f t="shared" si="44"/>
        <v>9298966</v>
      </c>
    </row>
    <row r="251" spans="1:27" s="12" customFormat="1" ht="93.75" customHeight="1" x14ac:dyDescent="0.25">
      <c r="A251" s="17">
        <f>IF(OR(D251=0,D251=""),"",COUNTA($D$19:D251))</f>
        <v>222</v>
      </c>
      <c r="B251" s="17" t="s">
        <v>733</v>
      </c>
      <c r="C251" s="90" t="s">
        <v>61</v>
      </c>
      <c r="D251" s="43">
        <v>1989</v>
      </c>
      <c r="E251" s="16">
        <v>3395.8</v>
      </c>
      <c r="F251" s="16">
        <v>2500.4</v>
      </c>
      <c r="G251" s="16">
        <v>0</v>
      </c>
      <c r="H251" s="17" t="s">
        <v>257</v>
      </c>
      <c r="I251" s="15"/>
      <c r="J251" s="16"/>
      <c r="K251" s="16"/>
      <c r="L251" s="16"/>
      <c r="M251" s="18"/>
      <c r="N251" s="16"/>
      <c r="O251" s="16"/>
      <c r="P251" s="16">
        <f>1972*E251</f>
        <v>6696517.6000000006</v>
      </c>
      <c r="Q251" s="16"/>
      <c r="R251" s="16">
        <f>E251*1917</f>
        <v>6509748.6000000006</v>
      </c>
      <c r="S251" s="16"/>
      <c r="T251" s="16"/>
      <c r="U251" s="16"/>
      <c r="V251" s="19">
        <f t="shared" si="39"/>
        <v>13206266.200000001</v>
      </c>
      <c r="W251" s="20" t="s">
        <v>1173</v>
      </c>
      <c r="X251" s="37">
        <v>0</v>
      </c>
      <c r="Y251" s="37">
        <v>0</v>
      </c>
      <c r="Z251" s="79">
        <v>0</v>
      </c>
      <c r="AA251" s="19">
        <f t="shared" si="44"/>
        <v>13206266.200000001</v>
      </c>
    </row>
    <row r="252" spans="1:27" s="12" customFormat="1" ht="93.75" customHeight="1" x14ac:dyDescent="0.25">
      <c r="A252" s="17">
        <f>IF(OR(D252=0,D252=""),"",COUNTA($D$19:D252))</f>
        <v>223</v>
      </c>
      <c r="B252" s="17" t="s">
        <v>961</v>
      </c>
      <c r="C252" s="90" t="s">
        <v>342</v>
      </c>
      <c r="D252" s="43">
        <v>1990</v>
      </c>
      <c r="E252" s="16">
        <v>4735.1000000000004</v>
      </c>
      <c r="F252" s="16">
        <v>3358.1</v>
      </c>
      <c r="G252" s="16">
        <v>293.3</v>
      </c>
      <c r="H252" s="17" t="s">
        <v>257</v>
      </c>
      <c r="I252" s="15"/>
      <c r="J252" s="16"/>
      <c r="K252" s="16"/>
      <c r="L252" s="23"/>
      <c r="M252" s="24"/>
      <c r="N252" s="16"/>
      <c r="O252" s="16"/>
      <c r="P252" s="16">
        <f>1972*E252</f>
        <v>9337617.2000000011</v>
      </c>
      <c r="Q252" s="23"/>
      <c r="R252" s="23"/>
      <c r="S252" s="23"/>
      <c r="T252" s="23"/>
      <c r="U252" s="16"/>
      <c r="V252" s="19">
        <f t="shared" si="39"/>
        <v>9337617.2000000011</v>
      </c>
      <c r="W252" s="20" t="s">
        <v>1173</v>
      </c>
      <c r="X252" s="37">
        <v>0</v>
      </c>
      <c r="Y252" s="37">
        <v>0</v>
      </c>
      <c r="Z252" s="79">
        <v>0</v>
      </c>
      <c r="AA252" s="19">
        <f t="shared" si="44"/>
        <v>9337617.2000000011</v>
      </c>
    </row>
    <row r="253" spans="1:27" s="13" customFormat="1" ht="93.75" customHeight="1" x14ac:dyDescent="0.25">
      <c r="A253" s="17" t="str">
        <f>IF(OR(D253=0,D253=""),"",COUNTA($D$19:D253))</f>
        <v/>
      </c>
      <c r="B253" s="17"/>
      <c r="C253" s="89"/>
      <c r="D253" s="21"/>
      <c r="E253" s="26">
        <f>SUM(E73:E252)</f>
        <v>1070331.6400000004</v>
      </c>
      <c r="F253" s="26">
        <f>SUM(F73:F252)</f>
        <v>757530.42000000039</v>
      </c>
      <c r="G253" s="26">
        <f>SUM(G73:G252)</f>
        <v>76826.870000000024</v>
      </c>
      <c r="H253" s="17"/>
      <c r="I253" s="15"/>
      <c r="J253" s="26"/>
      <c r="K253" s="26"/>
      <c r="L253" s="26"/>
      <c r="M253" s="29"/>
      <c r="N253" s="30"/>
      <c r="O253" s="26"/>
      <c r="P253" s="16"/>
      <c r="Q253" s="26"/>
      <c r="R253" s="26"/>
      <c r="S253" s="26"/>
      <c r="T253" s="26"/>
      <c r="U253" s="17"/>
      <c r="V253" s="26">
        <f>SUM(V73:V252)</f>
        <v>2175384652.3118443</v>
      </c>
      <c r="W253" s="26"/>
      <c r="X253" s="26">
        <f>SUM(X73:X252)</f>
        <v>0</v>
      </c>
      <c r="Y253" s="26">
        <f>SUM(Y73:Y252)</f>
        <v>0</v>
      </c>
      <c r="Z253" s="80">
        <f>SUM(Z73:Z252)</f>
        <v>0</v>
      </c>
      <c r="AA253" s="28">
        <f t="shared" si="44"/>
        <v>2175384652.3118443</v>
      </c>
    </row>
    <row r="254" spans="1:27" s="12" customFormat="1" ht="93.75" customHeight="1" x14ac:dyDescent="0.25">
      <c r="A254" s="17" t="str">
        <f>IF(OR(D254=0,D254=""),"",COUNTA($D$19:D254))</f>
        <v/>
      </c>
      <c r="B254" s="17"/>
      <c r="C254" s="89" t="s">
        <v>1180</v>
      </c>
      <c r="D254" s="43"/>
      <c r="E254" s="16"/>
      <c r="F254" s="16"/>
      <c r="G254" s="16"/>
      <c r="H254" s="17"/>
      <c r="I254" s="15"/>
      <c r="J254" s="16"/>
      <c r="K254" s="16"/>
      <c r="L254" s="16"/>
      <c r="M254" s="18"/>
      <c r="N254" s="16"/>
      <c r="O254" s="16"/>
      <c r="P254" s="16"/>
      <c r="Q254" s="16"/>
      <c r="R254" s="16"/>
      <c r="S254" s="16"/>
      <c r="T254" s="16"/>
      <c r="U254" s="15"/>
      <c r="V254" s="19"/>
      <c r="W254" s="20"/>
      <c r="X254" s="37"/>
      <c r="Y254" s="37"/>
      <c r="Z254" s="20"/>
      <c r="AA254" s="19"/>
    </row>
    <row r="255" spans="1:27" s="12" customFormat="1" ht="93.75" customHeight="1" x14ac:dyDescent="0.25">
      <c r="A255" s="17">
        <f>IF(OR(D255=0,D255=""),"",COUNTA($D$19:D255))</f>
        <v>224</v>
      </c>
      <c r="B255" s="17" t="s">
        <v>1040</v>
      </c>
      <c r="C255" s="90" t="s">
        <v>266</v>
      </c>
      <c r="D255" s="43">
        <v>1991</v>
      </c>
      <c r="E255" s="16">
        <v>3196.6</v>
      </c>
      <c r="F255" s="16">
        <v>1563</v>
      </c>
      <c r="G255" s="16">
        <v>383.93</v>
      </c>
      <c r="H255" s="17" t="s">
        <v>257</v>
      </c>
      <c r="I255" s="15"/>
      <c r="J255" s="16"/>
      <c r="K255" s="16"/>
      <c r="L255" s="16"/>
      <c r="M255" s="16"/>
      <c r="N255" s="16"/>
      <c r="O255" s="16"/>
      <c r="P255" s="16">
        <f>1972*E255</f>
        <v>6303695.2000000002</v>
      </c>
      <c r="Q255" s="16"/>
      <c r="R255" s="16"/>
      <c r="S255" s="16"/>
      <c r="T255" s="16"/>
      <c r="U255" s="16"/>
      <c r="V255" s="19">
        <f t="shared" ref="V255:V258" si="45">J255+K255+L255+M255+N255+O255+P255+Q255+R255+S255+T255+U255</f>
        <v>6303695.2000000002</v>
      </c>
      <c r="W255" s="20" t="s">
        <v>1173</v>
      </c>
      <c r="X255" s="37">
        <v>0</v>
      </c>
      <c r="Y255" s="37">
        <v>0</v>
      </c>
      <c r="Z255" s="79">
        <v>0</v>
      </c>
      <c r="AA255" s="19">
        <f>V255-(X255+Y255+Z255)</f>
        <v>6303695.2000000002</v>
      </c>
    </row>
    <row r="256" spans="1:27" s="12" customFormat="1" ht="93.75" customHeight="1" x14ac:dyDescent="0.25">
      <c r="A256" s="17">
        <f>IF(OR(D256=0,D256=""),"",COUNTA($D$19:D256))</f>
        <v>225</v>
      </c>
      <c r="B256" s="17" t="s">
        <v>1043</v>
      </c>
      <c r="C256" s="90" t="s">
        <v>356</v>
      </c>
      <c r="D256" s="43">
        <v>1994</v>
      </c>
      <c r="E256" s="16">
        <v>1349.8</v>
      </c>
      <c r="F256" s="16">
        <v>925</v>
      </c>
      <c r="G256" s="16">
        <v>0</v>
      </c>
      <c r="H256" s="17" t="s">
        <v>254</v>
      </c>
      <c r="I256" s="15"/>
      <c r="J256" s="16"/>
      <c r="K256" s="16"/>
      <c r="L256" s="23"/>
      <c r="M256" s="24"/>
      <c r="N256" s="16"/>
      <c r="O256" s="16"/>
      <c r="P256" s="16">
        <f>E256*1919</f>
        <v>2590266.1999999997</v>
      </c>
      <c r="Q256" s="23"/>
      <c r="R256" s="23"/>
      <c r="S256" s="23"/>
      <c r="T256" s="23"/>
      <c r="U256" s="16"/>
      <c r="V256" s="19">
        <f t="shared" si="45"/>
        <v>2590266.1999999997</v>
      </c>
      <c r="W256" s="20" t="s">
        <v>1173</v>
      </c>
      <c r="X256" s="37">
        <v>0</v>
      </c>
      <c r="Y256" s="37">
        <v>0</v>
      </c>
      <c r="Z256" s="79">
        <v>0</v>
      </c>
      <c r="AA256" s="19">
        <f>V256-(X256+Y256+Z256)</f>
        <v>2590266.1999999997</v>
      </c>
    </row>
    <row r="257" spans="1:27" s="12" customFormat="1" ht="93.75" customHeight="1" x14ac:dyDescent="0.25">
      <c r="A257" s="17">
        <f>IF(OR(D257=0,D257=""),"",COUNTA($D$19:D257))</f>
        <v>226</v>
      </c>
      <c r="B257" s="17" t="s">
        <v>1044</v>
      </c>
      <c r="C257" s="90" t="s">
        <v>357</v>
      </c>
      <c r="D257" s="43">
        <v>1994</v>
      </c>
      <c r="E257" s="16">
        <v>1035.0999999999999</v>
      </c>
      <c r="F257" s="16">
        <v>662.6</v>
      </c>
      <c r="G257" s="16">
        <v>0</v>
      </c>
      <c r="H257" s="17" t="s">
        <v>256</v>
      </c>
      <c r="I257" s="15"/>
      <c r="J257" s="16"/>
      <c r="K257" s="16"/>
      <c r="L257" s="23"/>
      <c r="M257" s="24"/>
      <c r="N257" s="16"/>
      <c r="O257" s="16"/>
      <c r="P257" s="16">
        <f>1972*E257</f>
        <v>2041217.1999999997</v>
      </c>
      <c r="Q257" s="23"/>
      <c r="R257" s="23"/>
      <c r="S257" s="23"/>
      <c r="T257" s="23"/>
      <c r="U257" s="16"/>
      <c r="V257" s="19">
        <f t="shared" si="45"/>
        <v>2041217.1999999997</v>
      </c>
      <c r="W257" s="20" t="s">
        <v>1173</v>
      </c>
      <c r="X257" s="37">
        <v>0</v>
      </c>
      <c r="Y257" s="37">
        <v>0</v>
      </c>
      <c r="Z257" s="79">
        <v>0</v>
      </c>
      <c r="AA257" s="19">
        <f>V257-(X257+Y257+Z257)</f>
        <v>2041217.1999999997</v>
      </c>
    </row>
    <row r="258" spans="1:27" s="12" customFormat="1" ht="93.75" customHeight="1" x14ac:dyDescent="0.25">
      <c r="A258" s="17">
        <f>IF(OR(D258=0,D258=""),"",COUNTA($D$19:D258))</f>
        <v>227</v>
      </c>
      <c r="B258" s="17" t="s">
        <v>1045</v>
      </c>
      <c r="C258" s="90" t="s">
        <v>358</v>
      </c>
      <c r="D258" s="43">
        <v>1994</v>
      </c>
      <c r="E258" s="16">
        <v>1349.2</v>
      </c>
      <c r="F258" s="16">
        <v>924.4</v>
      </c>
      <c r="G258" s="16">
        <v>0</v>
      </c>
      <c r="H258" s="17" t="s">
        <v>256</v>
      </c>
      <c r="I258" s="15"/>
      <c r="J258" s="16"/>
      <c r="K258" s="16"/>
      <c r="L258" s="23"/>
      <c r="M258" s="24"/>
      <c r="N258" s="16"/>
      <c r="O258" s="16"/>
      <c r="P258" s="16">
        <f>1972*E258</f>
        <v>2660622.4</v>
      </c>
      <c r="Q258" s="23"/>
      <c r="R258" s="23"/>
      <c r="S258" s="23"/>
      <c r="T258" s="23"/>
      <c r="U258" s="16"/>
      <c r="V258" s="19">
        <f t="shared" si="45"/>
        <v>2660622.4</v>
      </c>
      <c r="W258" s="20" t="s">
        <v>1173</v>
      </c>
      <c r="X258" s="37">
        <v>0</v>
      </c>
      <c r="Y258" s="37">
        <v>0</v>
      </c>
      <c r="Z258" s="79">
        <v>0</v>
      </c>
      <c r="AA258" s="19">
        <f>V258-(X258+Y258+Z258)</f>
        <v>2660622.4</v>
      </c>
    </row>
    <row r="259" spans="1:27" s="13" customFormat="1" ht="93.75" customHeight="1" x14ac:dyDescent="0.25">
      <c r="A259" s="17" t="str">
        <f>IF(OR(D259=0,D259=""),"",COUNTA($D$19:D259))</f>
        <v/>
      </c>
      <c r="B259" s="17"/>
      <c r="C259" s="89"/>
      <c r="D259" s="21"/>
      <c r="E259" s="26">
        <f>SUM(E255:E258)</f>
        <v>6930.7</v>
      </c>
      <c r="F259" s="26">
        <f>SUM(F255:F258)</f>
        <v>4075</v>
      </c>
      <c r="G259" s="26">
        <f>SUM(G255:G258)</f>
        <v>383.93</v>
      </c>
      <c r="H259" s="17"/>
      <c r="I259" s="15"/>
      <c r="J259" s="26"/>
      <c r="K259" s="26"/>
      <c r="L259" s="26"/>
      <c r="M259" s="29"/>
      <c r="N259" s="26"/>
      <c r="O259" s="26"/>
      <c r="P259" s="16"/>
      <c r="Q259" s="26"/>
      <c r="R259" s="26"/>
      <c r="S259" s="26"/>
      <c r="T259" s="26"/>
      <c r="U259" s="17"/>
      <c r="V259" s="26">
        <f>SUM(V255:V258)</f>
        <v>13595801</v>
      </c>
      <c r="W259" s="26"/>
      <c r="X259" s="26">
        <f t="shared" ref="X259:Z259" si="46">SUM(X255:X258)</f>
        <v>0</v>
      </c>
      <c r="Y259" s="26">
        <f t="shared" si="46"/>
        <v>0</v>
      </c>
      <c r="Z259" s="80">
        <f t="shared" si="46"/>
        <v>0</v>
      </c>
      <c r="AA259" s="28">
        <f>V259-(X259+Y259+Z259)</f>
        <v>13595801</v>
      </c>
    </row>
    <row r="260" spans="1:27" s="12" customFormat="1" ht="93.75" customHeight="1" x14ac:dyDescent="0.25">
      <c r="A260" s="17" t="str">
        <f>IF(OR(D260=0,D260=""),"",COUNTA($D$19:D260))</f>
        <v/>
      </c>
      <c r="B260" s="17"/>
      <c r="C260" s="89" t="s">
        <v>1181</v>
      </c>
      <c r="D260" s="43"/>
      <c r="E260" s="16"/>
      <c r="F260" s="16"/>
      <c r="G260" s="16"/>
      <c r="H260" s="17"/>
      <c r="I260" s="15"/>
      <c r="J260" s="16"/>
      <c r="K260" s="16"/>
      <c r="L260" s="16"/>
      <c r="M260" s="18"/>
      <c r="N260" s="16"/>
      <c r="O260" s="16"/>
      <c r="P260" s="16"/>
      <c r="Q260" s="16"/>
      <c r="R260" s="16"/>
      <c r="S260" s="16"/>
      <c r="T260" s="16"/>
      <c r="U260" s="15"/>
      <c r="V260" s="19"/>
      <c r="W260" s="20"/>
      <c r="X260" s="37"/>
      <c r="Y260" s="37"/>
      <c r="Z260" s="20"/>
      <c r="AA260" s="19"/>
    </row>
    <row r="261" spans="1:27" s="12" customFormat="1" ht="93.75" customHeight="1" x14ac:dyDescent="0.25">
      <c r="A261" s="17">
        <f>IF(OR(D261=0,D261=""),"",COUNTA($D$19:D261))</f>
        <v>228</v>
      </c>
      <c r="B261" s="17" t="s">
        <v>1067</v>
      </c>
      <c r="C261" s="90" t="s">
        <v>318</v>
      </c>
      <c r="D261" s="43">
        <v>1989</v>
      </c>
      <c r="E261" s="16">
        <v>1968</v>
      </c>
      <c r="F261" s="16">
        <v>1687</v>
      </c>
      <c r="G261" s="16">
        <v>0</v>
      </c>
      <c r="H261" s="17" t="s">
        <v>250</v>
      </c>
      <c r="I261" s="15"/>
      <c r="J261" s="16"/>
      <c r="K261" s="16"/>
      <c r="L261" s="23"/>
      <c r="M261" s="24"/>
      <c r="N261" s="16"/>
      <c r="O261" s="16"/>
      <c r="P261" s="16">
        <f>E261*1919</f>
        <v>3776592</v>
      </c>
      <c r="Q261" s="23"/>
      <c r="R261" s="23"/>
      <c r="S261" s="23"/>
      <c r="T261" s="23"/>
      <c r="U261" s="16"/>
      <c r="V261" s="19">
        <f t="shared" ref="V261" si="47">J261+K261+L261+M261+N261+O261+P261+Q261+R261+S261+T261+U261</f>
        <v>3776592</v>
      </c>
      <c r="W261" s="20" t="s">
        <v>1173</v>
      </c>
      <c r="X261" s="37">
        <v>0</v>
      </c>
      <c r="Y261" s="37">
        <v>0</v>
      </c>
      <c r="Z261" s="79">
        <v>0</v>
      </c>
      <c r="AA261" s="19">
        <f>V261-(X261+Y261+Z261)</f>
        <v>3776592</v>
      </c>
    </row>
    <row r="262" spans="1:27" s="13" customFormat="1" ht="93.75" customHeight="1" x14ac:dyDescent="0.25">
      <c r="A262" s="17" t="str">
        <f>IF(OR(D262=0,D262=""),"",COUNTA($D$19:D262))</f>
        <v/>
      </c>
      <c r="B262" s="17"/>
      <c r="C262" s="89"/>
      <c r="D262" s="21"/>
      <c r="E262" s="26">
        <f>SUM(E261:E261)</f>
        <v>1968</v>
      </c>
      <c r="F262" s="26">
        <f>SUM(F261:F261)</f>
        <v>1687</v>
      </c>
      <c r="G262" s="26">
        <f>SUM(G261:G261)</f>
        <v>0</v>
      </c>
      <c r="H262" s="17"/>
      <c r="I262" s="15"/>
      <c r="J262" s="26"/>
      <c r="K262" s="26"/>
      <c r="L262" s="26"/>
      <c r="M262" s="29"/>
      <c r="N262" s="26"/>
      <c r="O262" s="26"/>
      <c r="P262" s="16"/>
      <c r="Q262" s="26"/>
      <c r="R262" s="26"/>
      <c r="S262" s="26"/>
      <c r="T262" s="26"/>
      <c r="U262" s="17"/>
      <c r="V262" s="26">
        <f>SUM(V261:V261)</f>
        <v>3776592</v>
      </c>
      <c r="W262" s="26"/>
      <c r="X262" s="26">
        <f>SUM(X261:X261)</f>
        <v>0</v>
      </c>
      <c r="Y262" s="26">
        <f>SUM(Y261:Y261)</f>
        <v>0</v>
      </c>
      <c r="Z262" s="80">
        <f>SUM(Z261:Z261)</f>
        <v>0</v>
      </c>
      <c r="AA262" s="28">
        <f>V262-(X262+Y262+Z262)</f>
        <v>3776592</v>
      </c>
    </row>
    <row r="263" spans="1:27" s="13" customFormat="1" ht="93.75" customHeight="1" x14ac:dyDescent="0.25">
      <c r="A263" s="17" t="str">
        <f>IF(OR(D263=0,D263=""),"",COUNTA($D$19:D263))</f>
        <v/>
      </c>
      <c r="B263" s="17"/>
      <c r="C263" s="89" t="s">
        <v>1212</v>
      </c>
      <c r="D263" s="21"/>
      <c r="E263" s="26"/>
      <c r="F263" s="26"/>
      <c r="G263" s="26"/>
      <c r="H263" s="17"/>
      <c r="I263" s="15"/>
      <c r="J263" s="26"/>
      <c r="K263" s="26"/>
      <c r="L263" s="26"/>
      <c r="M263" s="29"/>
      <c r="N263" s="26"/>
      <c r="O263" s="26"/>
      <c r="P263" s="16"/>
      <c r="Q263" s="26"/>
      <c r="R263" s="26"/>
      <c r="S263" s="26"/>
      <c r="T263" s="26"/>
      <c r="U263" s="17"/>
      <c r="V263" s="26"/>
      <c r="W263" s="31"/>
      <c r="X263" s="37"/>
      <c r="Y263" s="37"/>
      <c r="Z263" s="20"/>
      <c r="AA263" s="28"/>
    </row>
    <row r="264" spans="1:27" s="13" customFormat="1" ht="93.75" customHeight="1" x14ac:dyDescent="0.25">
      <c r="A264" s="17">
        <f>IF(OR(D264=0,D264=""),"",COUNTA($D$19:D264))</f>
        <v>229</v>
      </c>
      <c r="B264" s="17" t="s">
        <v>1054</v>
      </c>
      <c r="C264" s="90" t="s">
        <v>222</v>
      </c>
      <c r="D264" s="43">
        <v>1971</v>
      </c>
      <c r="E264" s="16">
        <v>5351.9</v>
      </c>
      <c r="F264" s="16">
        <v>3833.6</v>
      </c>
      <c r="G264" s="16">
        <v>0</v>
      </c>
      <c r="H264" s="17" t="s">
        <v>257</v>
      </c>
      <c r="I264" s="15"/>
      <c r="J264" s="16"/>
      <c r="K264" s="16"/>
      <c r="L264" s="16"/>
      <c r="M264" s="18"/>
      <c r="N264" s="16"/>
      <c r="O264" s="23"/>
      <c r="P264" s="16">
        <f>1972*E264</f>
        <v>10553946.799999999</v>
      </c>
      <c r="Q264" s="16"/>
      <c r="R264" s="16">
        <f>E264*1917</f>
        <v>10259592.299999999</v>
      </c>
      <c r="S264" s="16"/>
      <c r="T264" s="16"/>
      <c r="U264" s="17"/>
      <c r="V264" s="19">
        <f t="shared" ref="V264" si="48">J264+K264+L264+M264+N264+O264+P264+Q264+R264+S264+T264+U264</f>
        <v>20813539.099999998</v>
      </c>
      <c r="W264" s="20" t="s">
        <v>1173</v>
      </c>
      <c r="X264" s="37">
        <v>0</v>
      </c>
      <c r="Y264" s="37">
        <v>0</v>
      </c>
      <c r="Z264" s="79">
        <v>0</v>
      </c>
      <c r="AA264" s="19">
        <f>V264-(X264+Y264+Z264)</f>
        <v>20813539.099999998</v>
      </c>
    </row>
    <row r="265" spans="1:27" s="13" customFormat="1" ht="93.75" customHeight="1" x14ac:dyDescent="0.25">
      <c r="A265" s="17" t="str">
        <f>IF(OR(D265=0,D265=""),"",COUNTA($D$19:D265))</f>
        <v/>
      </c>
      <c r="B265" s="17"/>
      <c r="C265" s="89"/>
      <c r="D265" s="21"/>
      <c r="E265" s="26">
        <f>SUM(E264:E264)</f>
        <v>5351.9</v>
      </c>
      <c r="F265" s="26">
        <f>SUM(F264:F264)</f>
        <v>3833.6</v>
      </c>
      <c r="G265" s="26">
        <f>SUM(G264:G264)</f>
        <v>0</v>
      </c>
      <c r="H265" s="17"/>
      <c r="I265" s="15"/>
      <c r="J265" s="26"/>
      <c r="K265" s="26"/>
      <c r="L265" s="26"/>
      <c r="M265" s="29"/>
      <c r="N265" s="26"/>
      <c r="O265" s="26"/>
      <c r="P265" s="16"/>
      <c r="Q265" s="26"/>
      <c r="R265" s="26"/>
      <c r="S265" s="26"/>
      <c r="T265" s="26"/>
      <c r="U265" s="17"/>
      <c r="V265" s="26">
        <f>SUM(V264:V264)</f>
        <v>20813539.099999998</v>
      </c>
      <c r="W265" s="26"/>
      <c r="X265" s="26">
        <f t="shared" ref="X265:Z265" si="49">SUM(X264:X264)</f>
        <v>0</v>
      </c>
      <c r="Y265" s="26">
        <f t="shared" si="49"/>
        <v>0</v>
      </c>
      <c r="Z265" s="80">
        <f t="shared" si="49"/>
        <v>0</v>
      </c>
      <c r="AA265" s="28">
        <f>V265-(X265+Y265+Z265)</f>
        <v>20813539.099999998</v>
      </c>
    </row>
    <row r="266" spans="1:27" s="13" customFormat="1" ht="93.75" customHeight="1" x14ac:dyDescent="0.25">
      <c r="A266" s="17" t="str">
        <f>IF(OR(D266=0,D266=""),"",COUNTA($D$19:D266))</f>
        <v/>
      </c>
      <c r="B266" s="17"/>
      <c r="C266" s="89" t="s">
        <v>1182</v>
      </c>
      <c r="D266" s="21"/>
      <c r="E266" s="26"/>
      <c r="F266" s="26"/>
      <c r="G266" s="26"/>
      <c r="H266" s="17"/>
      <c r="I266" s="15"/>
      <c r="J266" s="26"/>
      <c r="K266" s="26"/>
      <c r="L266" s="26"/>
      <c r="M266" s="29"/>
      <c r="N266" s="26"/>
      <c r="O266" s="26"/>
      <c r="P266" s="16"/>
      <c r="Q266" s="26"/>
      <c r="R266" s="26"/>
      <c r="S266" s="26"/>
      <c r="T266" s="26"/>
      <c r="U266" s="17"/>
      <c r="V266" s="28"/>
      <c r="W266" s="31"/>
      <c r="X266" s="37"/>
      <c r="Y266" s="37"/>
      <c r="Z266" s="20"/>
      <c r="AA266" s="19"/>
    </row>
    <row r="267" spans="1:27" s="13" customFormat="1" ht="93.75" customHeight="1" x14ac:dyDescent="0.25">
      <c r="A267" s="17">
        <f>IF(OR(D267=0,D267=""),"",COUNTA($D$19:D267))</f>
        <v>230</v>
      </c>
      <c r="B267" s="17" t="s">
        <v>1088</v>
      </c>
      <c r="C267" s="90" t="s">
        <v>328</v>
      </c>
      <c r="D267" s="43">
        <v>1979</v>
      </c>
      <c r="E267" s="16">
        <v>2034.6</v>
      </c>
      <c r="F267" s="16">
        <v>1461.7</v>
      </c>
      <c r="G267" s="16">
        <v>573.20000000000005</v>
      </c>
      <c r="H267" s="17" t="s">
        <v>256</v>
      </c>
      <c r="I267" s="15"/>
      <c r="J267" s="16"/>
      <c r="K267" s="16"/>
      <c r="L267" s="16"/>
      <c r="M267" s="18"/>
      <c r="N267" s="16"/>
      <c r="O267" s="16"/>
      <c r="P267" s="16"/>
      <c r="Q267" s="16"/>
      <c r="R267" s="16">
        <f>E267*1917</f>
        <v>3900328.1999999997</v>
      </c>
      <c r="S267" s="16">
        <f>E267*90</f>
        <v>183114</v>
      </c>
      <c r="T267" s="16"/>
      <c r="U267" s="15"/>
      <c r="V267" s="19">
        <f t="shared" ref="V267" si="50">J267+K267+L267+M267+N267+O267+P267+Q267+R267+S267+T267+U267</f>
        <v>4083442.1999999997</v>
      </c>
      <c r="W267" s="20" t="s">
        <v>1173</v>
      </c>
      <c r="X267" s="37">
        <v>0</v>
      </c>
      <c r="Y267" s="37">
        <v>0</v>
      </c>
      <c r="Z267" s="79">
        <v>0</v>
      </c>
      <c r="AA267" s="19">
        <f>V267-(X267+Y267+Z267)</f>
        <v>4083442.1999999997</v>
      </c>
    </row>
    <row r="268" spans="1:27" s="13" customFormat="1" ht="93.75" customHeight="1" x14ac:dyDescent="0.25">
      <c r="A268" s="17" t="str">
        <f>IF(OR(D268=0,D268=""),"",COUNTA($D$19:D268))</f>
        <v/>
      </c>
      <c r="B268" s="17"/>
      <c r="C268" s="89"/>
      <c r="D268" s="21"/>
      <c r="E268" s="26">
        <f>SUM(E267:E267)</f>
        <v>2034.6</v>
      </c>
      <c r="F268" s="26">
        <f>SUM(F267:F267)</f>
        <v>1461.7</v>
      </c>
      <c r="G268" s="26">
        <f>SUM(G267:G267)</f>
        <v>573.20000000000005</v>
      </c>
      <c r="H268" s="17"/>
      <c r="I268" s="15"/>
      <c r="J268" s="26"/>
      <c r="K268" s="26"/>
      <c r="L268" s="26"/>
      <c r="M268" s="29"/>
      <c r="N268" s="26"/>
      <c r="O268" s="26"/>
      <c r="P268" s="16"/>
      <c r="Q268" s="26"/>
      <c r="R268" s="26"/>
      <c r="S268" s="26"/>
      <c r="T268" s="26"/>
      <c r="U268" s="17"/>
      <c r="V268" s="26">
        <f>SUM(V267:V267)</f>
        <v>4083442.1999999997</v>
      </c>
      <c r="W268" s="26"/>
      <c r="X268" s="26">
        <f t="shared" ref="X268:Z268" si="51">SUM(X267:X267)</f>
        <v>0</v>
      </c>
      <c r="Y268" s="26">
        <f t="shared" si="51"/>
        <v>0</v>
      </c>
      <c r="Z268" s="80">
        <f t="shared" si="51"/>
        <v>0</v>
      </c>
      <c r="AA268" s="28">
        <f>V268-(X268+Y268+Z268)</f>
        <v>4083442.1999999997</v>
      </c>
    </row>
    <row r="269" spans="1:27" s="12" customFormat="1" ht="93.75" customHeight="1" x14ac:dyDescent="0.25">
      <c r="A269" s="17" t="str">
        <f>IF(OR(D269=0,D269=""),"",COUNTA($D$19:D269))</f>
        <v/>
      </c>
      <c r="B269" s="17"/>
      <c r="C269" s="89" t="s">
        <v>1183</v>
      </c>
      <c r="D269" s="43"/>
      <c r="E269" s="16"/>
      <c r="F269" s="16"/>
      <c r="G269" s="16"/>
      <c r="H269" s="17"/>
      <c r="I269" s="15"/>
      <c r="J269" s="16"/>
      <c r="K269" s="16"/>
      <c r="L269" s="16"/>
      <c r="M269" s="18"/>
      <c r="N269" s="16"/>
      <c r="O269" s="16"/>
      <c r="P269" s="16"/>
      <c r="Q269" s="16"/>
      <c r="R269" s="16"/>
      <c r="S269" s="16"/>
      <c r="T269" s="16"/>
      <c r="U269" s="15"/>
      <c r="V269" s="19"/>
      <c r="W269" s="20"/>
      <c r="X269" s="37"/>
      <c r="Y269" s="37"/>
      <c r="Z269" s="20"/>
      <c r="AA269" s="19"/>
    </row>
    <row r="270" spans="1:27" s="12" customFormat="1" ht="93.75" customHeight="1" x14ac:dyDescent="0.25">
      <c r="A270" s="17">
        <f>IF(OR(D270=0,D270=""),"",COUNTA($D$19:D270))</f>
        <v>231</v>
      </c>
      <c r="B270" s="17" t="s">
        <v>1091</v>
      </c>
      <c r="C270" s="90" t="s">
        <v>225</v>
      </c>
      <c r="D270" s="43">
        <v>1955</v>
      </c>
      <c r="E270" s="16">
        <v>1822.9</v>
      </c>
      <c r="F270" s="16">
        <v>763.9</v>
      </c>
      <c r="G270" s="16">
        <v>318.10000000000002</v>
      </c>
      <c r="H270" s="17" t="s">
        <v>250</v>
      </c>
      <c r="I270" s="15"/>
      <c r="J270" s="16"/>
      <c r="K270" s="16"/>
      <c r="L270" s="16"/>
      <c r="M270" s="16"/>
      <c r="N270" s="16"/>
      <c r="O270" s="16"/>
      <c r="P270" s="16">
        <f>E270*1919</f>
        <v>3498145.1</v>
      </c>
      <c r="Q270" s="16"/>
      <c r="R270" s="16">
        <f>E270*1853</f>
        <v>3377833.7</v>
      </c>
      <c r="S270" s="16"/>
      <c r="T270" s="16"/>
      <c r="U270" s="16">
        <f>(J270+K270+L270+M270+N270+O270+P270+Q270+R270+S270+T270)*0.0214</f>
        <v>147145.94632000002</v>
      </c>
      <c r="V270" s="19">
        <f t="shared" ref="V270:V271" si="52">J270+K270+L270+M270+N270+O270+P270+Q270+R270+S270+T270+U270</f>
        <v>7023124.7463200008</v>
      </c>
      <c r="W270" s="20" t="s">
        <v>1173</v>
      </c>
      <c r="X270" s="37">
        <v>0</v>
      </c>
      <c r="Y270" s="37">
        <v>0</v>
      </c>
      <c r="Z270" s="79">
        <v>0</v>
      </c>
      <c r="AA270" s="19">
        <f>V270-(X270+Y270+Z270)</f>
        <v>7023124.7463200008</v>
      </c>
    </row>
    <row r="271" spans="1:27" s="12" customFormat="1" ht="93.75" customHeight="1" x14ac:dyDescent="0.25">
      <c r="A271" s="17">
        <f>IF(OR(D271=0,D271=""),"",COUNTA($D$19:D271))</f>
        <v>232</v>
      </c>
      <c r="B271" s="17" t="s">
        <v>1092</v>
      </c>
      <c r="C271" s="90" t="s">
        <v>226</v>
      </c>
      <c r="D271" s="43">
        <v>1957</v>
      </c>
      <c r="E271" s="16">
        <v>1023.8</v>
      </c>
      <c r="F271" s="16">
        <v>887</v>
      </c>
      <c r="G271" s="16">
        <v>98.9</v>
      </c>
      <c r="H271" s="17" t="s">
        <v>250</v>
      </c>
      <c r="I271" s="15"/>
      <c r="J271" s="16">
        <f>E271*340</f>
        <v>348092</v>
      </c>
      <c r="K271" s="16"/>
      <c r="L271" s="16"/>
      <c r="M271" s="16">
        <f>E271*193</f>
        <v>197593.4</v>
      </c>
      <c r="N271" s="16"/>
      <c r="O271" s="16"/>
      <c r="P271" s="16"/>
      <c r="Q271" s="16"/>
      <c r="R271" s="16"/>
      <c r="S271" s="16"/>
      <c r="T271" s="16"/>
      <c r="U271" s="15"/>
      <c r="V271" s="19">
        <f t="shared" si="52"/>
        <v>545685.4</v>
      </c>
      <c r="W271" s="20" t="s">
        <v>1173</v>
      </c>
      <c r="X271" s="37">
        <v>0</v>
      </c>
      <c r="Y271" s="37">
        <v>0</v>
      </c>
      <c r="Z271" s="79">
        <v>0</v>
      </c>
      <c r="AA271" s="19">
        <f>V271-(X271+Y271+Z271)</f>
        <v>545685.4</v>
      </c>
    </row>
    <row r="272" spans="1:27" s="13" customFormat="1" ht="93.75" customHeight="1" x14ac:dyDescent="0.25">
      <c r="A272" s="17" t="str">
        <f>IF(OR(D272=0,D272=""),"",COUNTA($D$19:D272))</f>
        <v/>
      </c>
      <c r="B272" s="17"/>
      <c r="C272" s="89"/>
      <c r="D272" s="21"/>
      <c r="E272" s="26">
        <f>SUM(E270:E271)</f>
        <v>2846.7</v>
      </c>
      <c r="F272" s="26">
        <f>SUM(F270:F271)</f>
        <v>1650.9</v>
      </c>
      <c r="G272" s="26">
        <f>SUM(G270:G271)</f>
        <v>417</v>
      </c>
      <c r="H272" s="17"/>
      <c r="I272" s="15"/>
      <c r="J272" s="26"/>
      <c r="K272" s="26"/>
      <c r="L272" s="26"/>
      <c r="M272" s="29"/>
      <c r="N272" s="26"/>
      <c r="O272" s="26"/>
      <c r="P272" s="26"/>
      <c r="Q272" s="26"/>
      <c r="R272" s="26"/>
      <c r="S272" s="26"/>
      <c r="T272" s="26"/>
      <c r="U272" s="17"/>
      <c r="V272" s="26">
        <f>SUM(V270:V271)</f>
        <v>7568810.1463200012</v>
      </c>
      <c r="W272" s="26"/>
      <c r="X272" s="26">
        <f t="shared" ref="X272:Z272" si="53">SUM(X270:X271)</f>
        <v>0</v>
      </c>
      <c r="Y272" s="26">
        <f t="shared" si="53"/>
        <v>0</v>
      </c>
      <c r="Z272" s="80">
        <f t="shared" si="53"/>
        <v>0</v>
      </c>
      <c r="AA272" s="28">
        <f>V272-(X272+Y272+Z272)</f>
        <v>7568810.1463200012</v>
      </c>
    </row>
    <row r="273" spans="1:27" s="12" customFormat="1" ht="93.75" customHeight="1" x14ac:dyDescent="0.25">
      <c r="A273" s="17" t="str">
        <f>IF(OR(D273=0,D273=""),"",COUNTA($D$19:D273))</f>
        <v/>
      </c>
      <c r="B273" s="17"/>
      <c r="C273" s="89" t="s">
        <v>1184</v>
      </c>
      <c r="D273" s="43"/>
      <c r="E273" s="16"/>
      <c r="F273" s="16"/>
      <c r="G273" s="16"/>
      <c r="H273" s="17"/>
      <c r="I273" s="15"/>
      <c r="J273" s="16"/>
      <c r="K273" s="16"/>
      <c r="L273" s="16"/>
      <c r="M273" s="18"/>
      <c r="N273" s="16"/>
      <c r="O273" s="16"/>
      <c r="P273" s="16"/>
      <c r="Q273" s="16"/>
      <c r="R273" s="16"/>
      <c r="S273" s="16"/>
      <c r="T273" s="16"/>
      <c r="U273" s="15"/>
      <c r="V273" s="19"/>
      <c r="W273" s="20"/>
      <c r="X273" s="37"/>
      <c r="Y273" s="37"/>
      <c r="Z273" s="20"/>
      <c r="AA273" s="19"/>
    </row>
    <row r="274" spans="1:27" s="12" customFormat="1" ht="93.75" customHeight="1" x14ac:dyDescent="0.25">
      <c r="A274" s="17">
        <f>IF(OR(D274=0,D274=""),"",COUNTA($D$19:D274))</f>
        <v>233</v>
      </c>
      <c r="B274" s="17" t="s">
        <v>1095</v>
      </c>
      <c r="C274" s="90" t="s">
        <v>267</v>
      </c>
      <c r="D274" s="43">
        <v>1975</v>
      </c>
      <c r="E274" s="16">
        <v>2141.4</v>
      </c>
      <c r="F274" s="16">
        <v>1476.6</v>
      </c>
      <c r="G274" s="16">
        <v>664.8</v>
      </c>
      <c r="H274" s="17" t="s">
        <v>254</v>
      </c>
      <c r="I274" s="15"/>
      <c r="J274" s="16"/>
      <c r="K274" s="16"/>
      <c r="L274" s="16"/>
      <c r="M274" s="18"/>
      <c r="N274" s="16"/>
      <c r="O274" s="16"/>
      <c r="P274" s="16">
        <f>E274*1919</f>
        <v>4109346.6</v>
      </c>
      <c r="Q274" s="16"/>
      <c r="R274" s="16"/>
      <c r="S274" s="16"/>
      <c r="T274" s="16"/>
      <c r="U274" s="15"/>
      <c r="V274" s="19">
        <f t="shared" ref="V274" si="54">J274+K274+L274+M274+N274+O274+P274+Q274+R274+S274+T274+U274</f>
        <v>4109346.6</v>
      </c>
      <c r="W274" s="20" t="s">
        <v>1173</v>
      </c>
      <c r="X274" s="37">
        <v>0</v>
      </c>
      <c r="Y274" s="37">
        <v>0</v>
      </c>
      <c r="Z274" s="79">
        <v>0</v>
      </c>
      <c r="AA274" s="19">
        <f>V274-(X274+Y274+Z274)</f>
        <v>4109346.6</v>
      </c>
    </row>
    <row r="275" spans="1:27" s="13" customFormat="1" ht="93.75" customHeight="1" x14ac:dyDescent="0.25">
      <c r="A275" s="17" t="str">
        <f>IF(OR(D275=0,D275=""),"",COUNTA($D$19:D275))</f>
        <v/>
      </c>
      <c r="B275" s="17"/>
      <c r="C275" s="89"/>
      <c r="D275" s="21"/>
      <c r="E275" s="26">
        <f>SUM(E274:E274)</f>
        <v>2141.4</v>
      </c>
      <c r="F275" s="26">
        <f>SUM(F274:F274)</f>
        <v>1476.6</v>
      </c>
      <c r="G275" s="26">
        <f>SUM(G274:G274)</f>
        <v>664.8</v>
      </c>
      <c r="H275" s="17"/>
      <c r="I275" s="15"/>
      <c r="J275" s="26"/>
      <c r="K275" s="26"/>
      <c r="L275" s="26"/>
      <c r="M275" s="29"/>
      <c r="N275" s="26"/>
      <c r="O275" s="26"/>
      <c r="P275" s="26"/>
      <c r="Q275" s="26"/>
      <c r="R275" s="26"/>
      <c r="S275" s="26"/>
      <c r="T275" s="26"/>
      <c r="U275" s="17"/>
      <c r="V275" s="26">
        <f>SUM(V274:V274)</f>
        <v>4109346.6</v>
      </c>
      <c r="W275" s="26"/>
      <c r="X275" s="26">
        <f t="shared" ref="X275:Z275" si="55">SUM(X274:X274)</f>
        <v>0</v>
      </c>
      <c r="Y275" s="26">
        <f t="shared" si="55"/>
        <v>0</v>
      </c>
      <c r="Z275" s="80">
        <f t="shared" si="55"/>
        <v>0</v>
      </c>
      <c r="AA275" s="28">
        <f>V275-(X275+Y275+Z275)</f>
        <v>4109346.6</v>
      </c>
    </row>
    <row r="276" spans="1:27" s="12" customFormat="1" ht="93.75" customHeight="1" x14ac:dyDescent="0.25">
      <c r="A276" s="17" t="str">
        <f>IF(OR(D276=0,D276=""),"",COUNTA($D$19:D276))</f>
        <v/>
      </c>
      <c r="B276" s="17"/>
      <c r="C276" s="89" t="s">
        <v>1185</v>
      </c>
      <c r="D276" s="43"/>
      <c r="E276" s="16"/>
      <c r="F276" s="16"/>
      <c r="G276" s="16"/>
      <c r="H276" s="17"/>
      <c r="I276" s="15"/>
      <c r="J276" s="16"/>
      <c r="K276" s="16"/>
      <c r="L276" s="16"/>
      <c r="M276" s="18"/>
      <c r="N276" s="16"/>
      <c r="O276" s="16"/>
      <c r="P276" s="16"/>
      <c r="Q276" s="16"/>
      <c r="R276" s="16"/>
      <c r="S276" s="16"/>
      <c r="T276" s="16"/>
      <c r="U276" s="15"/>
      <c r="V276" s="19"/>
      <c r="W276" s="20"/>
      <c r="X276" s="37"/>
      <c r="Y276" s="37"/>
      <c r="Z276" s="20"/>
      <c r="AA276" s="19"/>
    </row>
    <row r="277" spans="1:27" s="12" customFormat="1" ht="93.75" customHeight="1" x14ac:dyDescent="0.25">
      <c r="A277" s="17">
        <f>IF(OR(D277=0,D277=""),"",COUNTA($D$19:D277))</f>
        <v>234</v>
      </c>
      <c r="B277" s="85" t="s">
        <v>1146</v>
      </c>
      <c r="C277" s="90" t="s">
        <v>305</v>
      </c>
      <c r="D277" s="43">
        <v>1981</v>
      </c>
      <c r="E277" s="16">
        <v>3862.1</v>
      </c>
      <c r="F277" s="16">
        <v>1346.3</v>
      </c>
      <c r="G277" s="16">
        <v>0</v>
      </c>
      <c r="H277" s="17" t="s">
        <v>257</v>
      </c>
      <c r="I277" s="15"/>
      <c r="J277" s="16">
        <f>232*E277</f>
        <v>896007.2</v>
      </c>
      <c r="K277" s="16"/>
      <c r="L277" s="16"/>
      <c r="M277" s="18"/>
      <c r="N277" s="16"/>
      <c r="O277" s="16"/>
      <c r="P277" s="16"/>
      <c r="Q277" s="16"/>
      <c r="R277" s="16"/>
      <c r="S277" s="16"/>
      <c r="T277" s="16"/>
      <c r="U277" s="16"/>
      <c r="V277" s="19">
        <f t="shared" ref="V277:V284" si="56">J277+K277+L277+M277+N277+O277+P277+Q277+R277+S277+T277+U277</f>
        <v>896007.2</v>
      </c>
      <c r="W277" s="20" t="s">
        <v>1173</v>
      </c>
      <c r="X277" s="37">
        <v>0</v>
      </c>
      <c r="Y277" s="37">
        <v>0</v>
      </c>
      <c r="Z277" s="79">
        <v>0</v>
      </c>
      <c r="AA277" s="19">
        <f t="shared" ref="AA277:AA285" si="57">V277-(X277+Y277+Z277)</f>
        <v>896007.2</v>
      </c>
    </row>
    <row r="278" spans="1:27" s="12" customFormat="1" ht="93.75" customHeight="1" x14ac:dyDescent="0.25">
      <c r="A278" s="17">
        <f>IF(OR(D278=0,D278=""),"",COUNTA($D$19:D278))</f>
        <v>235</v>
      </c>
      <c r="B278" s="17" t="s">
        <v>1098</v>
      </c>
      <c r="C278" s="90" t="s">
        <v>319</v>
      </c>
      <c r="D278" s="43">
        <v>1979</v>
      </c>
      <c r="E278" s="16">
        <v>1890</v>
      </c>
      <c r="F278" s="16">
        <v>556.6</v>
      </c>
      <c r="G278" s="16">
        <v>0</v>
      </c>
      <c r="H278" s="17" t="s">
        <v>254</v>
      </c>
      <c r="I278" s="15"/>
      <c r="J278" s="16"/>
      <c r="K278" s="16"/>
      <c r="L278" s="16"/>
      <c r="M278" s="18"/>
      <c r="N278" s="16"/>
      <c r="O278" s="16"/>
      <c r="P278" s="16"/>
      <c r="Q278" s="16"/>
      <c r="R278" s="16">
        <f>E278*1853</f>
        <v>3502170</v>
      </c>
      <c r="S278" s="16"/>
      <c r="T278" s="16"/>
      <c r="U278" s="15"/>
      <c r="V278" s="19">
        <f t="shared" si="56"/>
        <v>3502170</v>
      </c>
      <c r="W278" s="20" t="s">
        <v>1173</v>
      </c>
      <c r="X278" s="37">
        <v>0</v>
      </c>
      <c r="Y278" s="37">
        <v>0</v>
      </c>
      <c r="Z278" s="79">
        <v>0</v>
      </c>
      <c r="AA278" s="19">
        <f t="shared" si="57"/>
        <v>3502170</v>
      </c>
    </row>
    <row r="279" spans="1:27" s="12" customFormat="1" ht="93.75" customHeight="1" x14ac:dyDescent="0.25">
      <c r="A279" s="17">
        <f>IF(OR(D279=0,D279=""),"",COUNTA($D$19:D279))</f>
        <v>236</v>
      </c>
      <c r="B279" s="17" t="s">
        <v>1099</v>
      </c>
      <c r="C279" s="90" t="s">
        <v>304</v>
      </c>
      <c r="D279" s="43">
        <v>1978</v>
      </c>
      <c r="E279" s="16">
        <v>5785.04</v>
      </c>
      <c r="F279" s="16">
        <v>2145.4</v>
      </c>
      <c r="G279" s="16">
        <v>292.7</v>
      </c>
      <c r="H279" s="17" t="s">
        <v>257</v>
      </c>
      <c r="I279" s="15"/>
      <c r="J279" s="16"/>
      <c r="K279" s="16"/>
      <c r="L279" s="16"/>
      <c r="M279" s="18"/>
      <c r="N279" s="16"/>
      <c r="O279" s="16"/>
      <c r="P279" s="16">
        <f>1972*E279</f>
        <v>11408098.880000001</v>
      </c>
      <c r="Q279" s="16"/>
      <c r="R279" s="16"/>
      <c r="S279" s="16"/>
      <c r="T279" s="16"/>
      <c r="U279" s="15"/>
      <c r="V279" s="19">
        <f t="shared" si="56"/>
        <v>11408098.880000001</v>
      </c>
      <c r="W279" s="20" t="s">
        <v>1173</v>
      </c>
      <c r="X279" s="37">
        <v>0</v>
      </c>
      <c r="Y279" s="37">
        <v>0</v>
      </c>
      <c r="Z279" s="79">
        <v>0</v>
      </c>
      <c r="AA279" s="19">
        <f t="shared" si="57"/>
        <v>11408098.880000001</v>
      </c>
    </row>
    <row r="280" spans="1:27" s="12" customFormat="1" ht="93.75" customHeight="1" x14ac:dyDescent="0.25">
      <c r="A280" s="17">
        <f>IF(OR(D280=0,D280=""),"",COUNTA($D$19:D280))</f>
        <v>237</v>
      </c>
      <c r="B280" s="17" t="s">
        <v>1102</v>
      </c>
      <c r="C280" s="90" t="s">
        <v>271</v>
      </c>
      <c r="D280" s="43">
        <v>1981</v>
      </c>
      <c r="E280" s="16">
        <v>3870.38</v>
      </c>
      <c r="F280" s="16">
        <v>1650.2</v>
      </c>
      <c r="G280" s="16">
        <v>895.8</v>
      </c>
      <c r="H280" s="17" t="s">
        <v>257</v>
      </c>
      <c r="I280" s="15"/>
      <c r="J280" s="16">
        <f>232*E280</f>
        <v>897928.16</v>
      </c>
      <c r="K280" s="16"/>
      <c r="L280" s="16"/>
      <c r="M280" s="18"/>
      <c r="N280" s="16"/>
      <c r="O280" s="16"/>
      <c r="P280" s="16"/>
      <c r="Q280" s="16"/>
      <c r="R280" s="16"/>
      <c r="S280" s="16"/>
      <c r="T280" s="16"/>
      <c r="U280" s="16"/>
      <c r="V280" s="19">
        <f t="shared" si="56"/>
        <v>897928.16</v>
      </c>
      <c r="W280" s="20" t="s">
        <v>1173</v>
      </c>
      <c r="X280" s="37">
        <v>0</v>
      </c>
      <c r="Y280" s="37">
        <v>0</v>
      </c>
      <c r="Z280" s="79">
        <v>0</v>
      </c>
      <c r="AA280" s="19">
        <f t="shared" si="57"/>
        <v>897928.16</v>
      </c>
    </row>
    <row r="281" spans="1:27" s="12" customFormat="1" ht="93.75" customHeight="1" x14ac:dyDescent="0.25">
      <c r="A281" s="17">
        <f>IF(OR(D281=0,D281=""),"",COUNTA($D$19:D281))</f>
        <v>238</v>
      </c>
      <c r="B281" s="17" t="s">
        <v>1105</v>
      </c>
      <c r="C281" s="90" t="s">
        <v>272</v>
      </c>
      <c r="D281" s="43">
        <v>1985</v>
      </c>
      <c r="E281" s="16">
        <v>1917</v>
      </c>
      <c r="F281" s="16">
        <v>828.8</v>
      </c>
      <c r="G281" s="16">
        <v>82.1</v>
      </c>
      <c r="H281" s="17" t="s">
        <v>254</v>
      </c>
      <c r="I281" s="15"/>
      <c r="J281" s="16"/>
      <c r="K281" s="16"/>
      <c r="L281" s="16"/>
      <c r="M281" s="18"/>
      <c r="N281" s="16"/>
      <c r="O281" s="16"/>
      <c r="P281" s="16">
        <f>E281*1919</f>
        <v>3678723</v>
      </c>
      <c r="Q281" s="16"/>
      <c r="R281" s="16"/>
      <c r="S281" s="16"/>
      <c r="T281" s="16"/>
      <c r="U281" s="16"/>
      <c r="V281" s="19">
        <f t="shared" si="56"/>
        <v>3678723</v>
      </c>
      <c r="W281" s="20" t="s">
        <v>1173</v>
      </c>
      <c r="X281" s="37">
        <v>0</v>
      </c>
      <c r="Y281" s="37">
        <v>0</v>
      </c>
      <c r="Z281" s="79">
        <v>0</v>
      </c>
      <c r="AA281" s="19">
        <f t="shared" si="57"/>
        <v>3678723</v>
      </c>
    </row>
    <row r="282" spans="1:27" s="12" customFormat="1" ht="93.75" customHeight="1" x14ac:dyDescent="0.25">
      <c r="A282" s="17">
        <f>IF(OR(D282=0,D282=""),"",COUNTA($D$19:D282))</f>
        <v>239</v>
      </c>
      <c r="B282" s="17" t="s">
        <v>1103</v>
      </c>
      <c r="C282" s="90" t="s">
        <v>329</v>
      </c>
      <c r="D282" s="43">
        <v>1990</v>
      </c>
      <c r="E282" s="16">
        <v>5348</v>
      </c>
      <c r="F282" s="16">
        <v>2251.4</v>
      </c>
      <c r="G282" s="16">
        <v>1616.78</v>
      </c>
      <c r="H282" s="17" t="s">
        <v>257</v>
      </c>
      <c r="I282" s="15"/>
      <c r="J282" s="16"/>
      <c r="K282" s="16"/>
      <c r="L282" s="16"/>
      <c r="M282" s="18"/>
      <c r="N282" s="16"/>
      <c r="O282" s="16"/>
      <c r="P282" s="16">
        <f>1972*E282</f>
        <v>10546256</v>
      </c>
      <c r="Q282" s="16"/>
      <c r="R282" s="16"/>
      <c r="S282" s="16"/>
      <c r="T282" s="16"/>
      <c r="U282" s="15"/>
      <c r="V282" s="19">
        <f t="shared" si="56"/>
        <v>10546256</v>
      </c>
      <c r="W282" s="20" t="s">
        <v>1173</v>
      </c>
      <c r="X282" s="37">
        <v>0</v>
      </c>
      <c r="Y282" s="37">
        <v>0</v>
      </c>
      <c r="Z282" s="79">
        <v>0</v>
      </c>
      <c r="AA282" s="19">
        <f t="shared" si="57"/>
        <v>10546256</v>
      </c>
    </row>
    <row r="283" spans="1:27" s="12" customFormat="1" ht="93.75" customHeight="1" x14ac:dyDescent="0.25">
      <c r="A283" s="17">
        <f>IF(OR(D283=0,D283=""),"",COUNTA($D$19:D283))</f>
        <v>240</v>
      </c>
      <c r="B283" s="17" t="s">
        <v>1104</v>
      </c>
      <c r="C283" s="90" t="s">
        <v>330</v>
      </c>
      <c r="D283" s="43">
        <v>1993</v>
      </c>
      <c r="E283" s="16">
        <v>5154</v>
      </c>
      <c r="F283" s="16">
        <v>2256.5</v>
      </c>
      <c r="G283" s="16">
        <v>1578.09</v>
      </c>
      <c r="H283" s="17" t="s">
        <v>257</v>
      </c>
      <c r="I283" s="15"/>
      <c r="J283" s="16"/>
      <c r="K283" s="16"/>
      <c r="L283" s="16"/>
      <c r="M283" s="18"/>
      <c r="N283" s="16"/>
      <c r="O283" s="16"/>
      <c r="P283" s="16">
        <f>1972*E283</f>
        <v>10163688</v>
      </c>
      <c r="Q283" s="16"/>
      <c r="R283" s="16"/>
      <c r="S283" s="16"/>
      <c r="T283" s="16"/>
      <c r="U283" s="15"/>
      <c r="V283" s="19">
        <f t="shared" si="56"/>
        <v>10163688</v>
      </c>
      <c r="W283" s="20" t="s">
        <v>1173</v>
      </c>
      <c r="X283" s="37">
        <v>0</v>
      </c>
      <c r="Y283" s="37">
        <v>0</v>
      </c>
      <c r="Z283" s="79">
        <v>0</v>
      </c>
      <c r="AA283" s="19">
        <f t="shared" si="57"/>
        <v>10163688</v>
      </c>
    </row>
    <row r="284" spans="1:27" s="12" customFormat="1" ht="93.75" customHeight="1" x14ac:dyDescent="0.25">
      <c r="A284" s="17">
        <f>IF(OR(D284=0,D284=""),"",COUNTA($D$19:D284))</f>
        <v>241</v>
      </c>
      <c r="B284" s="17" t="s">
        <v>1101</v>
      </c>
      <c r="C284" s="90" t="s">
        <v>352</v>
      </c>
      <c r="D284" s="43">
        <v>1991</v>
      </c>
      <c r="E284" s="16">
        <v>2750</v>
      </c>
      <c r="F284" s="16">
        <v>1245.5</v>
      </c>
      <c r="G284" s="16">
        <v>701.7</v>
      </c>
      <c r="H284" s="17" t="s">
        <v>254</v>
      </c>
      <c r="I284" s="15"/>
      <c r="J284" s="16"/>
      <c r="K284" s="16"/>
      <c r="L284" s="16"/>
      <c r="M284" s="18"/>
      <c r="N284" s="16"/>
      <c r="O284" s="16"/>
      <c r="P284" s="16">
        <f>E284*1919</f>
        <v>5277250</v>
      </c>
      <c r="Q284" s="16"/>
      <c r="R284" s="16"/>
      <c r="S284" s="16"/>
      <c r="T284" s="16"/>
      <c r="U284" s="15"/>
      <c r="V284" s="19">
        <f t="shared" si="56"/>
        <v>5277250</v>
      </c>
      <c r="W284" s="20" t="s">
        <v>1173</v>
      </c>
      <c r="X284" s="37">
        <v>0</v>
      </c>
      <c r="Y284" s="37">
        <v>0</v>
      </c>
      <c r="Z284" s="79">
        <v>0</v>
      </c>
      <c r="AA284" s="19">
        <f t="shared" si="57"/>
        <v>5277250</v>
      </c>
    </row>
    <row r="285" spans="1:27" s="13" customFormat="1" ht="93.75" customHeight="1" x14ac:dyDescent="0.25">
      <c r="A285" s="17" t="str">
        <f>IF(OR(D285=0,D285=""),"",COUNTA($D$19:D285))</f>
        <v/>
      </c>
      <c r="B285" s="17"/>
      <c r="C285" s="89"/>
      <c r="D285" s="21"/>
      <c r="E285" s="26">
        <f>SUM(E277:E284)</f>
        <v>30576.52</v>
      </c>
      <c r="F285" s="26">
        <f>SUM(F277:F284)</f>
        <v>12280.7</v>
      </c>
      <c r="G285" s="26">
        <f>SUM(G277:G284)</f>
        <v>5167.17</v>
      </c>
      <c r="H285" s="17"/>
      <c r="I285" s="15"/>
      <c r="J285" s="26"/>
      <c r="K285" s="26"/>
      <c r="L285" s="26"/>
      <c r="M285" s="29"/>
      <c r="N285" s="26"/>
      <c r="O285" s="26"/>
      <c r="P285" s="26"/>
      <c r="Q285" s="26"/>
      <c r="R285" s="26"/>
      <c r="S285" s="26"/>
      <c r="T285" s="26"/>
      <c r="U285" s="17"/>
      <c r="V285" s="26">
        <f>SUM(V277:V284)</f>
        <v>46370121.240000002</v>
      </c>
      <c r="W285" s="26"/>
      <c r="X285" s="26">
        <f>SUM(X277:X284)</f>
        <v>0</v>
      </c>
      <c r="Y285" s="26">
        <f>SUM(Y277:Y284)</f>
        <v>0</v>
      </c>
      <c r="Z285" s="80">
        <f>SUM(Z277:Z284)</f>
        <v>0</v>
      </c>
      <c r="AA285" s="28">
        <f t="shared" si="57"/>
        <v>46370121.240000002</v>
      </c>
    </row>
    <row r="286" spans="1:27" s="12" customFormat="1" ht="93.75" customHeight="1" x14ac:dyDescent="0.25">
      <c r="A286" s="17" t="str">
        <f>IF(OR(D286=0,D286=""),"",COUNTA($D$19:D286))</f>
        <v/>
      </c>
      <c r="B286" s="17"/>
      <c r="C286" s="89" t="s">
        <v>1186</v>
      </c>
      <c r="D286" s="43"/>
      <c r="E286" s="16"/>
      <c r="F286" s="16"/>
      <c r="G286" s="16"/>
      <c r="H286" s="17"/>
      <c r="I286" s="15"/>
      <c r="J286" s="16"/>
      <c r="K286" s="16"/>
      <c r="L286" s="16"/>
      <c r="M286" s="18"/>
      <c r="N286" s="16"/>
      <c r="O286" s="16"/>
      <c r="P286" s="16"/>
      <c r="Q286" s="16"/>
      <c r="R286" s="16"/>
      <c r="S286" s="16"/>
      <c r="T286" s="16"/>
      <c r="U286" s="15"/>
      <c r="V286" s="19"/>
      <c r="W286" s="20"/>
      <c r="X286" s="37"/>
      <c r="Y286" s="37"/>
      <c r="Z286" s="20"/>
      <c r="AA286" s="19"/>
    </row>
    <row r="287" spans="1:27" s="12" customFormat="1" ht="93.75" customHeight="1" x14ac:dyDescent="0.25">
      <c r="A287" s="17">
        <f>IF(OR(D287=0,D287=""),"",COUNTA($D$19:D287))</f>
        <v>242</v>
      </c>
      <c r="B287" s="17" t="s">
        <v>1113</v>
      </c>
      <c r="C287" s="92" t="s">
        <v>432</v>
      </c>
      <c r="D287" s="38">
        <v>1965</v>
      </c>
      <c r="E287" s="39">
        <v>1634.4</v>
      </c>
      <c r="F287" s="39">
        <v>646.1</v>
      </c>
      <c r="G287" s="39">
        <v>868.8</v>
      </c>
      <c r="H287" s="17" t="s">
        <v>250</v>
      </c>
      <c r="I287" s="20"/>
      <c r="J287" s="37"/>
      <c r="K287" s="16"/>
      <c r="L287" s="23"/>
      <c r="M287" s="24"/>
      <c r="N287" s="16"/>
      <c r="O287" s="16"/>
      <c r="P287" s="16">
        <f>E287*1919</f>
        <v>3136413.6</v>
      </c>
      <c r="Q287" s="23"/>
      <c r="R287" s="16"/>
      <c r="S287" s="23"/>
      <c r="T287" s="23"/>
      <c r="U287" s="15"/>
      <c r="V287" s="19">
        <f t="shared" ref="V287:V288" si="58">J287+K287+L287+M287+N287+O287+P287+Q287+R287+S287+T287+U287</f>
        <v>3136413.6</v>
      </c>
      <c r="W287" s="20" t="s">
        <v>1173</v>
      </c>
      <c r="X287" s="37">
        <v>0</v>
      </c>
      <c r="Y287" s="37">
        <v>0</v>
      </c>
      <c r="Z287" s="79">
        <v>0</v>
      </c>
      <c r="AA287" s="19">
        <f>V287-(X287+Y287+Z287)</f>
        <v>3136413.6</v>
      </c>
    </row>
    <row r="288" spans="1:27" s="12" customFormat="1" ht="93.75" customHeight="1" x14ac:dyDescent="0.25">
      <c r="A288" s="17">
        <f>IF(OR(D288=0,D288=""),"",COUNTA($D$19:D288))</f>
        <v>243</v>
      </c>
      <c r="B288" s="17" t="s">
        <v>1114</v>
      </c>
      <c r="C288" s="27" t="s">
        <v>354</v>
      </c>
      <c r="D288" s="51">
        <v>1974</v>
      </c>
      <c r="E288" s="37">
        <v>1462.5</v>
      </c>
      <c r="F288" s="37">
        <v>710.1</v>
      </c>
      <c r="G288" s="37">
        <v>532.5</v>
      </c>
      <c r="H288" s="17" t="s">
        <v>250</v>
      </c>
      <c r="I288" s="20"/>
      <c r="J288" s="16"/>
      <c r="K288" s="16"/>
      <c r="L288" s="16"/>
      <c r="M288" s="16"/>
      <c r="N288" s="16"/>
      <c r="O288" s="16"/>
      <c r="P288" s="16">
        <f>E288*1919</f>
        <v>2806537.5</v>
      </c>
      <c r="Q288" s="23"/>
      <c r="R288" s="16"/>
      <c r="S288" s="16"/>
      <c r="T288" s="23"/>
      <c r="U288" s="15"/>
      <c r="V288" s="19">
        <f t="shared" si="58"/>
        <v>2806537.5</v>
      </c>
      <c r="W288" s="20" t="s">
        <v>1173</v>
      </c>
      <c r="X288" s="37">
        <v>0</v>
      </c>
      <c r="Y288" s="37">
        <v>0</v>
      </c>
      <c r="Z288" s="79">
        <v>0</v>
      </c>
      <c r="AA288" s="19">
        <f>V288-(X288+Y288+Z288)</f>
        <v>2806537.5</v>
      </c>
    </row>
    <row r="289" spans="1:27" s="12" customFormat="1" ht="93.75" customHeight="1" x14ac:dyDescent="0.25">
      <c r="A289" s="17" t="str">
        <f>IF(OR(D289=0,D289=""),"",COUNTA($D$19:D289))</f>
        <v/>
      </c>
      <c r="B289" s="17"/>
      <c r="C289" s="90"/>
      <c r="D289" s="43"/>
      <c r="E289" s="26">
        <f>E287+E288</f>
        <v>3096.9</v>
      </c>
      <c r="F289" s="26">
        <f t="shared" ref="F289:G289" si="59">F287+F288</f>
        <v>1356.2</v>
      </c>
      <c r="G289" s="26">
        <f t="shared" si="59"/>
        <v>1401.3</v>
      </c>
      <c r="H289" s="17"/>
      <c r="I289" s="15"/>
      <c r="J289" s="16"/>
      <c r="K289" s="16"/>
      <c r="L289" s="16"/>
      <c r="M289" s="18"/>
      <c r="N289" s="16"/>
      <c r="O289" s="16"/>
      <c r="P289" s="16"/>
      <c r="Q289" s="16"/>
      <c r="R289" s="16"/>
      <c r="S289" s="16"/>
      <c r="T289" s="16"/>
      <c r="U289" s="15"/>
      <c r="V289" s="26">
        <f>V287+V288</f>
        <v>5942951.0999999996</v>
      </c>
      <c r="W289" s="26"/>
      <c r="X289" s="26">
        <f t="shared" ref="X289:Z289" si="60">X287+X288</f>
        <v>0</v>
      </c>
      <c r="Y289" s="26">
        <f t="shared" si="60"/>
        <v>0</v>
      </c>
      <c r="Z289" s="80">
        <f t="shared" si="60"/>
        <v>0</v>
      </c>
      <c r="AA289" s="28">
        <f>V289-(X289+Y289+Z289)</f>
        <v>5942951.0999999996</v>
      </c>
    </row>
    <row r="290" spans="1:27" s="12" customFormat="1" ht="93.75" customHeight="1" x14ac:dyDescent="0.25">
      <c r="A290" s="17" t="str">
        <f>IF(OR(D290=0,D290=""),"",COUNTA($D$19:D290))</f>
        <v/>
      </c>
      <c r="B290" s="17"/>
      <c r="C290" s="89" t="s">
        <v>1213</v>
      </c>
      <c r="D290" s="43"/>
      <c r="E290" s="16"/>
      <c r="F290" s="16"/>
      <c r="G290" s="16"/>
      <c r="H290" s="17"/>
      <c r="I290" s="15"/>
      <c r="J290" s="16"/>
      <c r="K290" s="16"/>
      <c r="L290" s="16"/>
      <c r="M290" s="18"/>
      <c r="N290" s="16"/>
      <c r="O290" s="16"/>
      <c r="P290" s="16"/>
      <c r="Q290" s="16"/>
      <c r="R290" s="16"/>
      <c r="S290" s="16"/>
      <c r="T290" s="16"/>
      <c r="U290" s="15"/>
      <c r="V290" s="19"/>
      <c r="W290" s="20"/>
      <c r="X290" s="37"/>
      <c r="Y290" s="37"/>
      <c r="Z290" s="20"/>
      <c r="AA290" s="19"/>
    </row>
    <row r="291" spans="1:27" s="12" customFormat="1" ht="93.75" customHeight="1" x14ac:dyDescent="0.25">
      <c r="A291" s="17">
        <f>IF(OR(D291=0,D291=""),"",COUNTA($D$19:D291))</f>
        <v>244</v>
      </c>
      <c r="B291" s="17" t="s">
        <v>1131</v>
      </c>
      <c r="C291" s="90" t="s">
        <v>229</v>
      </c>
      <c r="D291" s="43">
        <v>1917</v>
      </c>
      <c r="E291" s="16">
        <v>1076.0999999999999</v>
      </c>
      <c r="F291" s="16">
        <v>237.6</v>
      </c>
      <c r="G291" s="16">
        <v>0</v>
      </c>
      <c r="H291" s="17" t="s">
        <v>258</v>
      </c>
      <c r="I291" s="15"/>
      <c r="J291" s="16"/>
      <c r="K291" s="16"/>
      <c r="L291" s="16"/>
      <c r="M291" s="18"/>
      <c r="N291" s="16"/>
      <c r="O291" s="16"/>
      <c r="P291" s="16"/>
      <c r="Q291" s="16"/>
      <c r="R291" s="16"/>
      <c r="S291" s="16"/>
      <c r="T291" s="16">
        <f>E291*1037</f>
        <v>1115915.7</v>
      </c>
      <c r="U291" s="16"/>
      <c r="V291" s="19">
        <f t="shared" ref="V291:V301" si="61">J291+K291+L291+M291+N291+O291+P291+Q291+R291+S291+T291+U291</f>
        <v>1115915.7</v>
      </c>
      <c r="W291" s="20" t="s">
        <v>1173</v>
      </c>
      <c r="X291" s="37">
        <v>0</v>
      </c>
      <c r="Y291" s="37">
        <v>0</v>
      </c>
      <c r="Z291" s="79">
        <v>0</v>
      </c>
      <c r="AA291" s="19">
        <f t="shared" ref="AA291:AA301" si="62">V291-(X291+Y291+Z291)</f>
        <v>1115915.7</v>
      </c>
    </row>
    <row r="292" spans="1:27" s="12" customFormat="1" ht="93.75" customHeight="1" x14ac:dyDescent="0.25">
      <c r="A292" s="17">
        <f>IF(OR(D292=0,D292=""),"",COUNTA($D$19:D292))</f>
        <v>245</v>
      </c>
      <c r="B292" s="17" t="s">
        <v>1132</v>
      </c>
      <c r="C292" s="90" t="s">
        <v>399</v>
      </c>
      <c r="D292" s="43">
        <v>1973</v>
      </c>
      <c r="E292" s="16">
        <v>2754.3</v>
      </c>
      <c r="F292" s="16">
        <v>1743.3</v>
      </c>
      <c r="G292" s="16">
        <v>1011</v>
      </c>
      <c r="H292" s="17" t="s">
        <v>257</v>
      </c>
      <c r="I292" s="14"/>
      <c r="J292" s="16"/>
      <c r="K292" s="16"/>
      <c r="L292" s="23"/>
      <c r="M292" s="18"/>
      <c r="N292" s="16"/>
      <c r="O292" s="16"/>
      <c r="P292" s="16">
        <f>1972*E292</f>
        <v>5431479.6000000006</v>
      </c>
      <c r="Q292" s="16"/>
      <c r="R292" s="16"/>
      <c r="S292" s="16"/>
      <c r="T292" s="23"/>
      <c r="U292" s="16"/>
      <c r="V292" s="19">
        <f t="shared" si="61"/>
        <v>5431479.6000000006</v>
      </c>
      <c r="W292" s="20" t="s">
        <v>1173</v>
      </c>
      <c r="X292" s="37">
        <v>0</v>
      </c>
      <c r="Y292" s="37">
        <v>0</v>
      </c>
      <c r="Z292" s="79">
        <v>0</v>
      </c>
      <c r="AA292" s="19">
        <f t="shared" si="62"/>
        <v>5431479.6000000006</v>
      </c>
    </row>
    <row r="293" spans="1:27" s="12" customFormat="1" ht="93.75" customHeight="1" x14ac:dyDescent="0.25">
      <c r="A293" s="17">
        <f>IF(OR(D293=0,D293=""),"",COUNTA($D$19:D293))</f>
        <v>246</v>
      </c>
      <c r="B293" s="17" t="s">
        <v>1141</v>
      </c>
      <c r="C293" s="90" t="s">
        <v>233</v>
      </c>
      <c r="D293" s="43">
        <v>1965</v>
      </c>
      <c r="E293" s="16">
        <v>1089.8</v>
      </c>
      <c r="F293" s="16">
        <v>612.79999999999995</v>
      </c>
      <c r="G293" s="16">
        <v>0</v>
      </c>
      <c r="H293" s="17" t="s">
        <v>250</v>
      </c>
      <c r="I293" s="15"/>
      <c r="J293" s="16"/>
      <c r="K293" s="16"/>
      <c r="L293" s="23"/>
      <c r="M293" s="18"/>
      <c r="N293" s="16"/>
      <c r="O293" s="16"/>
      <c r="P293" s="16">
        <f>E293*1919</f>
        <v>2091326.2</v>
      </c>
      <c r="Q293" s="16"/>
      <c r="R293" s="16">
        <f>E293*1853</f>
        <v>2019399.4</v>
      </c>
      <c r="S293" s="16"/>
      <c r="T293" s="23"/>
      <c r="U293" s="16"/>
      <c r="V293" s="19">
        <f t="shared" si="61"/>
        <v>4110725.5999999996</v>
      </c>
      <c r="W293" s="20" t="s">
        <v>1173</v>
      </c>
      <c r="X293" s="37">
        <v>0</v>
      </c>
      <c r="Y293" s="37">
        <v>0</v>
      </c>
      <c r="Z293" s="79">
        <v>0</v>
      </c>
      <c r="AA293" s="19">
        <f t="shared" si="62"/>
        <v>4110725.5999999996</v>
      </c>
    </row>
    <row r="294" spans="1:27" s="12" customFormat="1" ht="93.75" customHeight="1" x14ac:dyDescent="0.25">
      <c r="A294" s="17">
        <f>IF(OR(D294=0,D294=""),"",COUNTA($D$19:D294))</f>
        <v>247</v>
      </c>
      <c r="B294" s="17" t="s">
        <v>1135</v>
      </c>
      <c r="C294" s="90" t="s">
        <v>231</v>
      </c>
      <c r="D294" s="43">
        <v>1962</v>
      </c>
      <c r="E294" s="16">
        <v>1261.7</v>
      </c>
      <c r="F294" s="16">
        <v>616.70000000000005</v>
      </c>
      <c r="G294" s="16">
        <v>0</v>
      </c>
      <c r="H294" s="17" t="s">
        <v>258</v>
      </c>
      <c r="I294" s="15"/>
      <c r="J294" s="16"/>
      <c r="K294" s="16"/>
      <c r="L294" s="16"/>
      <c r="M294" s="18"/>
      <c r="N294" s="16"/>
      <c r="O294" s="16"/>
      <c r="P294" s="16"/>
      <c r="Q294" s="16"/>
      <c r="R294" s="16"/>
      <c r="S294" s="16"/>
      <c r="T294" s="16">
        <f>E294*883</f>
        <v>1114081.1000000001</v>
      </c>
      <c r="U294" s="16"/>
      <c r="V294" s="19">
        <f t="shared" si="61"/>
        <v>1114081.1000000001</v>
      </c>
      <c r="W294" s="20" t="s">
        <v>1173</v>
      </c>
      <c r="X294" s="37">
        <v>0</v>
      </c>
      <c r="Y294" s="37">
        <v>0</v>
      </c>
      <c r="Z294" s="79">
        <v>0</v>
      </c>
      <c r="AA294" s="19">
        <f t="shared" si="62"/>
        <v>1114081.1000000001</v>
      </c>
    </row>
    <row r="295" spans="1:27" s="12" customFormat="1" ht="93.75" customHeight="1" x14ac:dyDescent="0.25">
      <c r="A295" s="17">
        <f>IF(OR(D295=0,D295=""),"",COUNTA($D$19:D295))</f>
        <v>248</v>
      </c>
      <c r="B295" s="17" t="s">
        <v>1130</v>
      </c>
      <c r="C295" s="90" t="s">
        <v>299</v>
      </c>
      <c r="D295" s="43">
        <v>1958</v>
      </c>
      <c r="E295" s="16">
        <v>778.3</v>
      </c>
      <c r="F295" s="16">
        <v>691.9</v>
      </c>
      <c r="G295" s="16">
        <v>42.6</v>
      </c>
      <c r="H295" s="17" t="s">
        <v>250</v>
      </c>
      <c r="I295" s="15"/>
      <c r="J295" s="16"/>
      <c r="K295" s="16"/>
      <c r="L295" s="23"/>
      <c r="M295" s="24"/>
      <c r="N295" s="16">
        <f>E295*136</f>
        <v>105848.79999999999</v>
      </c>
      <c r="O295" s="16"/>
      <c r="P295" s="23"/>
      <c r="Q295" s="23"/>
      <c r="R295" s="23"/>
      <c r="S295" s="23"/>
      <c r="T295" s="23"/>
      <c r="U295" s="16"/>
      <c r="V295" s="19">
        <f t="shared" si="61"/>
        <v>105848.79999999999</v>
      </c>
      <c r="W295" s="20" t="s">
        <v>1173</v>
      </c>
      <c r="X295" s="37">
        <v>0</v>
      </c>
      <c r="Y295" s="37">
        <v>0</v>
      </c>
      <c r="Z295" s="79">
        <v>0</v>
      </c>
      <c r="AA295" s="19">
        <f t="shared" si="62"/>
        <v>105848.79999999999</v>
      </c>
    </row>
    <row r="296" spans="1:27" s="12" customFormat="1" ht="93.75" customHeight="1" x14ac:dyDescent="0.25">
      <c r="A296" s="17">
        <f>IF(OR(D296=0,D296=""),"",COUNTA($D$19:D296))</f>
        <v>249</v>
      </c>
      <c r="B296" s="17" t="s">
        <v>1133</v>
      </c>
      <c r="C296" s="90" t="s">
        <v>335</v>
      </c>
      <c r="D296" s="43">
        <v>1976</v>
      </c>
      <c r="E296" s="16">
        <v>2342.1999999999998</v>
      </c>
      <c r="F296" s="16">
        <v>1747.9</v>
      </c>
      <c r="G296" s="16">
        <v>594.29999999999995</v>
      </c>
      <c r="H296" s="17" t="s">
        <v>257</v>
      </c>
      <c r="I296" s="15"/>
      <c r="J296" s="16"/>
      <c r="K296" s="16"/>
      <c r="L296" s="23"/>
      <c r="M296" s="24"/>
      <c r="N296" s="16"/>
      <c r="O296" s="16"/>
      <c r="P296" s="16">
        <f>1972*E296</f>
        <v>4618818.3999999994</v>
      </c>
      <c r="Q296" s="23"/>
      <c r="R296" s="16"/>
      <c r="S296" s="23"/>
      <c r="T296" s="23"/>
      <c r="U296" s="16"/>
      <c r="V296" s="19">
        <f t="shared" si="61"/>
        <v>4618818.3999999994</v>
      </c>
      <c r="W296" s="20" t="s">
        <v>1173</v>
      </c>
      <c r="X296" s="37">
        <v>0</v>
      </c>
      <c r="Y296" s="37">
        <v>0</v>
      </c>
      <c r="Z296" s="79">
        <v>0</v>
      </c>
      <c r="AA296" s="19">
        <f t="shared" si="62"/>
        <v>4618818.3999999994</v>
      </c>
    </row>
    <row r="297" spans="1:27" s="12" customFormat="1" ht="93.75" customHeight="1" x14ac:dyDescent="0.25">
      <c r="A297" s="17">
        <f>IF(OR(D297=0,D297=""),"",COUNTA($D$19:D297))</f>
        <v>250</v>
      </c>
      <c r="B297" s="17" t="s">
        <v>1137</v>
      </c>
      <c r="C297" s="90" t="s">
        <v>336</v>
      </c>
      <c r="D297" s="43">
        <v>1969</v>
      </c>
      <c r="E297" s="16">
        <v>2223.9</v>
      </c>
      <c r="F297" s="16">
        <v>1174.0999999999999</v>
      </c>
      <c r="G297" s="16">
        <v>928.1</v>
      </c>
      <c r="H297" s="17" t="s">
        <v>257</v>
      </c>
      <c r="I297" s="15"/>
      <c r="J297" s="16"/>
      <c r="K297" s="16"/>
      <c r="L297" s="23"/>
      <c r="M297" s="24"/>
      <c r="N297" s="16"/>
      <c r="O297" s="16"/>
      <c r="P297" s="16">
        <f>1972*E297</f>
        <v>4385530.8</v>
      </c>
      <c r="Q297" s="23"/>
      <c r="R297" s="23"/>
      <c r="S297" s="23"/>
      <c r="T297" s="23"/>
      <c r="U297" s="16"/>
      <c r="V297" s="19">
        <f t="shared" si="61"/>
        <v>4385530.8</v>
      </c>
      <c r="W297" s="20" t="s">
        <v>1173</v>
      </c>
      <c r="X297" s="37">
        <v>0</v>
      </c>
      <c r="Y297" s="37">
        <v>0</v>
      </c>
      <c r="Z297" s="79">
        <v>0</v>
      </c>
      <c r="AA297" s="19">
        <f t="shared" si="62"/>
        <v>4385530.8</v>
      </c>
    </row>
    <row r="298" spans="1:27" s="12" customFormat="1" ht="93.75" customHeight="1" x14ac:dyDescent="0.25">
      <c r="A298" s="17">
        <f>IF(OR(D298=0,D298=""),"",COUNTA($D$19:D298))</f>
        <v>251</v>
      </c>
      <c r="B298" s="17" t="s">
        <v>1139</v>
      </c>
      <c r="C298" s="90" t="s">
        <v>337</v>
      </c>
      <c r="D298" s="43">
        <v>1974</v>
      </c>
      <c r="E298" s="16">
        <v>2050.9</v>
      </c>
      <c r="F298" s="16">
        <v>1098.9000000000001</v>
      </c>
      <c r="G298" s="16">
        <v>952</v>
      </c>
      <c r="H298" s="17" t="s">
        <v>254</v>
      </c>
      <c r="I298" s="15"/>
      <c r="J298" s="16"/>
      <c r="K298" s="16"/>
      <c r="L298" s="23"/>
      <c r="M298" s="24"/>
      <c r="N298" s="16"/>
      <c r="O298" s="16"/>
      <c r="P298" s="16">
        <f>E298*1919</f>
        <v>3935677.1</v>
      </c>
      <c r="Q298" s="23"/>
      <c r="R298" s="23"/>
      <c r="S298" s="23"/>
      <c r="T298" s="23"/>
      <c r="U298" s="16"/>
      <c r="V298" s="19">
        <f t="shared" si="61"/>
        <v>3935677.1</v>
      </c>
      <c r="W298" s="20" t="s">
        <v>1173</v>
      </c>
      <c r="X298" s="37">
        <v>0</v>
      </c>
      <c r="Y298" s="37">
        <v>0</v>
      </c>
      <c r="Z298" s="79">
        <v>0</v>
      </c>
      <c r="AA298" s="19">
        <f t="shared" si="62"/>
        <v>3935677.1</v>
      </c>
    </row>
    <row r="299" spans="1:27" s="12" customFormat="1" ht="93.75" customHeight="1" x14ac:dyDescent="0.25">
      <c r="A299" s="17">
        <f>IF(OR(D299=0,D299=""),"",COUNTA($D$19:D299))</f>
        <v>252</v>
      </c>
      <c r="B299" s="17" t="s">
        <v>1140</v>
      </c>
      <c r="C299" s="90" t="s">
        <v>338</v>
      </c>
      <c r="D299" s="43">
        <v>1990</v>
      </c>
      <c r="E299" s="16">
        <v>2531.4</v>
      </c>
      <c r="F299" s="16">
        <v>1307.4000000000001</v>
      </c>
      <c r="G299" s="16">
        <v>1224</v>
      </c>
      <c r="H299" s="17" t="s">
        <v>254</v>
      </c>
      <c r="I299" s="15"/>
      <c r="J299" s="16"/>
      <c r="K299" s="16"/>
      <c r="L299" s="23"/>
      <c r="M299" s="24"/>
      <c r="N299" s="16"/>
      <c r="O299" s="16"/>
      <c r="P299" s="16">
        <f>E299*1919</f>
        <v>4857756.6000000006</v>
      </c>
      <c r="Q299" s="23"/>
      <c r="R299" s="23"/>
      <c r="S299" s="23"/>
      <c r="T299" s="23"/>
      <c r="U299" s="16"/>
      <c r="V299" s="19">
        <f t="shared" si="61"/>
        <v>4857756.6000000006</v>
      </c>
      <c r="W299" s="20" t="s">
        <v>1173</v>
      </c>
      <c r="X299" s="37">
        <v>0</v>
      </c>
      <c r="Y299" s="37">
        <v>0</v>
      </c>
      <c r="Z299" s="79">
        <v>0</v>
      </c>
      <c r="AA299" s="19">
        <f t="shared" si="62"/>
        <v>4857756.6000000006</v>
      </c>
    </row>
    <row r="300" spans="1:27" s="12" customFormat="1" ht="93.75" customHeight="1" x14ac:dyDescent="0.25">
      <c r="A300" s="17">
        <f>IF(OR(D300=0,D300=""),"",COUNTA($D$19:D300))</f>
        <v>253</v>
      </c>
      <c r="B300" s="17" t="s">
        <v>1145</v>
      </c>
      <c r="C300" s="90" t="s">
        <v>339</v>
      </c>
      <c r="D300" s="43">
        <v>1969</v>
      </c>
      <c r="E300" s="16">
        <v>2095.1</v>
      </c>
      <c r="F300" s="16">
        <v>1256.3</v>
      </c>
      <c r="G300" s="16">
        <v>838.8</v>
      </c>
      <c r="H300" s="17" t="s">
        <v>256</v>
      </c>
      <c r="I300" s="15"/>
      <c r="J300" s="16"/>
      <c r="K300" s="16"/>
      <c r="L300" s="23"/>
      <c r="M300" s="24"/>
      <c r="N300" s="16"/>
      <c r="O300" s="16"/>
      <c r="P300" s="16">
        <f>E300*1972</f>
        <v>4131537.1999999997</v>
      </c>
      <c r="Q300" s="23"/>
      <c r="R300" s="23"/>
      <c r="S300" s="23"/>
      <c r="T300" s="23"/>
      <c r="U300" s="16"/>
      <c r="V300" s="19">
        <f t="shared" si="61"/>
        <v>4131537.1999999997</v>
      </c>
      <c r="W300" s="20" t="s">
        <v>1173</v>
      </c>
      <c r="X300" s="37">
        <v>0</v>
      </c>
      <c r="Y300" s="37">
        <v>0</v>
      </c>
      <c r="Z300" s="79">
        <v>0</v>
      </c>
      <c r="AA300" s="19">
        <f t="shared" si="62"/>
        <v>4131537.1999999997</v>
      </c>
    </row>
    <row r="301" spans="1:27" s="12" customFormat="1" ht="93.75" customHeight="1" x14ac:dyDescent="0.25">
      <c r="A301" s="17">
        <f>IF(OR(D301=0,D301=""),"",COUNTA($D$19:D301))</f>
        <v>254</v>
      </c>
      <c r="B301" s="17" t="s">
        <v>1138</v>
      </c>
      <c r="C301" s="90" t="s">
        <v>232</v>
      </c>
      <c r="D301" s="43">
        <v>1976</v>
      </c>
      <c r="E301" s="16">
        <v>8042.2</v>
      </c>
      <c r="F301" s="16">
        <v>5798.1</v>
      </c>
      <c r="G301" s="16">
        <v>0</v>
      </c>
      <c r="H301" s="17" t="s">
        <v>257</v>
      </c>
      <c r="I301" s="15"/>
      <c r="J301" s="16"/>
      <c r="K301" s="16"/>
      <c r="L301" s="23"/>
      <c r="M301" s="24"/>
      <c r="N301" s="16"/>
      <c r="O301" s="16"/>
      <c r="P301" s="16">
        <f>1972*E301</f>
        <v>15859218.4</v>
      </c>
      <c r="Q301" s="23"/>
      <c r="R301" s="16">
        <f>E301*1917</f>
        <v>15416897.4</v>
      </c>
      <c r="S301" s="23"/>
      <c r="T301" s="23"/>
      <c r="U301" s="16"/>
      <c r="V301" s="19">
        <f t="shared" si="61"/>
        <v>31276115.800000001</v>
      </c>
      <c r="W301" s="20" t="s">
        <v>1173</v>
      </c>
      <c r="X301" s="37">
        <v>0</v>
      </c>
      <c r="Y301" s="37">
        <v>0</v>
      </c>
      <c r="Z301" s="79">
        <v>0</v>
      </c>
      <c r="AA301" s="19">
        <f t="shared" si="62"/>
        <v>31276115.800000001</v>
      </c>
    </row>
    <row r="302" spans="1:27" s="13" customFormat="1" ht="93.6" customHeight="1" x14ac:dyDescent="0.25">
      <c r="A302" s="17" t="str">
        <f>IF(OR(D302=0,D302=""),"",COUNTA($D$19:D302))</f>
        <v/>
      </c>
      <c r="B302" s="17"/>
      <c r="C302" s="89"/>
      <c r="D302" s="21"/>
      <c r="E302" s="26">
        <f>SUM(E291:E301)</f>
        <v>26245.899999999998</v>
      </c>
      <c r="F302" s="26">
        <f>SUM(F291:F301)</f>
        <v>16284.999999999998</v>
      </c>
      <c r="G302" s="26">
        <f>SUM(G291:G301)</f>
        <v>5590.8</v>
      </c>
      <c r="H302" s="17"/>
      <c r="I302" s="15"/>
      <c r="J302" s="26"/>
      <c r="K302" s="26"/>
      <c r="L302" s="26"/>
      <c r="M302" s="29"/>
      <c r="N302" s="26"/>
      <c r="O302" s="26"/>
      <c r="P302" s="26"/>
      <c r="Q302" s="26"/>
      <c r="R302" s="26"/>
      <c r="S302" s="26"/>
      <c r="T302" s="26"/>
      <c r="U302" s="17"/>
      <c r="V302" s="26">
        <f>SUM(V291:V301)</f>
        <v>65083486.700000003</v>
      </c>
      <c r="W302" s="26"/>
      <c r="X302" s="26">
        <f>SUM(X291:X301)</f>
        <v>0</v>
      </c>
      <c r="Y302" s="26">
        <f>SUM(Y291:Y301)</f>
        <v>0</v>
      </c>
      <c r="Z302" s="79">
        <v>0</v>
      </c>
      <c r="AA302" s="28">
        <f t="shared" ref="AA302" si="63">V302-(X302+Y302+Z302)</f>
        <v>65083486.700000003</v>
      </c>
    </row>
    <row r="303" spans="1:27" s="12" customFormat="1" ht="93.75" customHeight="1" x14ac:dyDescent="0.25">
      <c r="A303" s="17"/>
      <c r="B303" s="17"/>
      <c r="C303" s="89" t="s">
        <v>237</v>
      </c>
      <c r="D303" s="43"/>
      <c r="E303" s="26">
        <f>E22+E25+E56+E60+E71+E253+E259+E262+E265+E268+E272+E275+E285+E289+E302</f>
        <v>1340644.1100000001</v>
      </c>
      <c r="F303" s="26">
        <f>F22+F25+F56+F60+F71+F253+F259+F262+F265+F268+F272+F275+F285+F289+F302</f>
        <v>930339.80000000028</v>
      </c>
      <c r="G303" s="26">
        <f>G22+G25+G56+G60+G71+G253+G259+G262+G265+G268+G272+G275+G285+G289+G302</f>
        <v>114611.17000000003</v>
      </c>
      <c r="H303" s="17"/>
      <c r="I303" s="15"/>
      <c r="J303" s="16"/>
      <c r="K303" s="16"/>
      <c r="L303" s="16"/>
      <c r="M303" s="18"/>
      <c r="N303" s="16"/>
      <c r="O303" s="16"/>
      <c r="P303" s="16"/>
      <c r="Q303" s="16"/>
      <c r="R303" s="16"/>
      <c r="S303" s="16"/>
      <c r="T303" s="16"/>
      <c r="U303" s="15"/>
      <c r="V303" s="26">
        <f>V22+V25+V56+V60+V71+V253+V259+V262+V265+V268+V272+V275+V285+V289+V302</f>
        <v>2635514859.4375634</v>
      </c>
      <c r="W303" s="26"/>
      <c r="X303" s="26">
        <f>X22+X25+X56+X60+X71+X253+X259+X262+X265+X268+X272+X275+X285+X289+X302</f>
        <v>0</v>
      </c>
      <c r="Y303" s="26">
        <f>Y22+Y25+Y56+Y60+Y71+Y253+Y259+Y262+Y265+Y268+Y272+Y275+Y285+Y289+Y302</f>
        <v>0</v>
      </c>
      <c r="Z303" s="79">
        <v>0</v>
      </c>
      <c r="AA303" s="26">
        <f>AA22+AA25+AA56+AA60+AA71+AA253+AA259+AA262+AA265+AA268+AA272+AA275+AA285+AA289+AA302</f>
        <v>2635514859.4375634</v>
      </c>
    </row>
    <row r="304" spans="1:27" s="12" customFormat="1" ht="93.75" customHeight="1" x14ac:dyDescent="0.25">
      <c r="A304" s="17"/>
      <c r="B304" s="17"/>
      <c r="C304" s="89" t="s">
        <v>236</v>
      </c>
      <c r="D304" s="43"/>
      <c r="E304" s="16"/>
      <c r="F304" s="16"/>
      <c r="G304" s="16"/>
      <c r="H304" s="17"/>
      <c r="I304" s="15"/>
      <c r="J304" s="16"/>
      <c r="K304" s="16"/>
      <c r="L304" s="16"/>
      <c r="M304" s="18"/>
      <c r="N304" s="16"/>
      <c r="O304" s="16"/>
      <c r="P304" s="16"/>
      <c r="Q304" s="16"/>
      <c r="R304" s="16"/>
      <c r="S304" s="16"/>
      <c r="T304" s="16"/>
      <c r="U304" s="15"/>
      <c r="V304" s="19"/>
      <c r="W304" s="20"/>
      <c r="X304" s="37"/>
      <c r="Y304" s="37"/>
      <c r="Z304" s="20"/>
      <c r="AA304" s="19"/>
    </row>
    <row r="305" spans="1:27" s="12" customFormat="1" ht="93.75" customHeight="1" x14ac:dyDescent="0.25">
      <c r="A305" s="17"/>
      <c r="B305" s="17"/>
      <c r="C305" s="89" t="s">
        <v>1187</v>
      </c>
      <c r="D305" s="21"/>
      <c r="E305" s="26"/>
      <c r="F305" s="26"/>
      <c r="G305" s="26"/>
      <c r="H305" s="17"/>
      <c r="I305" s="15"/>
      <c r="J305" s="26"/>
      <c r="K305" s="26"/>
      <c r="L305" s="26"/>
      <c r="M305" s="26"/>
      <c r="N305" s="26"/>
      <c r="O305" s="26"/>
      <c r="P305" s="26"/>
      <c r="Q305" s="16"/>
      <c r="R305" s="16"/>
      <c r="S305" s="16"/>
      <c r="T305" s="16"/>
      <c r="U305" s="15"/>
      <c r="V305" s="19"/>
      <c r="W305" s="20"/>
      <c r="X305" s="37"/>
      <c r="Y305" s="37"/>
      <c r="Z305" s="20"/>
      <c r="AA305" s="19"/>
    </row>
    <row r="306" spans="1:27" s="12" customFormat="1" ht="93.75" customHeight="1" x14ac:dyDescent="0.25">
      <c r="A306" s="17">
        <f>IF(OR(D306=0,D306=""),"",COUNTA($D306:D$306))</f>
        <v>1</v>
      </c>
      <c r="B306" s="17" t="s">
        <v>614</v>
      </c>
      <c r="C306" s="90" t="s">
        <v>439</v>
      </c>
      <c r="D306" s="52">
        <v>1965</v>
      </c>
      <c r="E306" s="46">
        <v>405.9</v>
      </c>
      <c r="F306" s="46">
        <v>371.3</v>
      </c>
      <c r="G306" s="16">
        <v>0</v>
      </c>
      <c r="H306" s="17" t="s">
        <v>250</v>
      </c>
      <c r="I306" s="15"/>
      <c r="J306" s="16"/>
      <c r="K306" s="16"/>
      <c r="L306" s="16"/>
      <c r="M306" s="16"/>
      <c r="N306" s="16"/>
      <c r="O306" s="16"/>
      <c r="P306" s="16">
        <f>E306*3823</f>
        <v>1551755.7</v>
      </c>
      <c r="Q306" s="16"/>
      <c r="R306" s="16"/>
      <c r="S306" s="16"/>
      <c r="T306" s="16"/>
      <c r="U306" s="15"/>
      <c r="V306" s="19">
        <f t="shared" ref="V306" si="64">J306+K306+L306+M306+N306+O306+P306+Q306+R306+S306+T306+U306</f>
        <v>1551755.7</v>
      </c>
      <c r="W306" s="20" t="s">
        <v>1174</v>
      </c>
      <c r="X306" s="37">
        <v>0</v>
      </c>
      <c r="Y306" s="37">
        <v>0</v>
      </c>
      <c r="Z306" s="79">
        <v>0</v>
      </c>
      <c r="AA306" s="19">
        <f>V306-(X306+Y306+Z306)</f>
        <v>1551755.7</v>
      </c>
    </row>
    <row r="307" spans="1:27" s="12" customFormat="1" ht="93.75" customHeight="1" x14ac:dyDescent="0.25">
      <c r="A307" s="17" t="str">
        <f>IF(OR(D307=0,D307=""),"",COUNTA($D$306:D307))</f>
        <v/>
      </c>
      <c r="B307" s="17"/>
      <c r="C307" s="89"/>
      <c r="D307" s="43"/>
      <c r="E307" s="26">
        <f>SUM(E306:E306)</f>
        <v>405.9</v>
      </c>
      <c r="F307" s="26">
        <f>SUM(F306:F306)</f>
        <v>371.3</v>
      </c>
      <c r="G307" s="26">
        <f>SUM(G306:G306)</f>
        <v>0</v>
      </c>
      <c r="H307" s="17"/>
      <c r="I307" s="15"/>
      <c r="J307" s="16"/>
      <c r="K307" s="16"/>
      <c r="L307" s="16"/>
      <c r="M307" s="18"/>
      <c r="N307" s="16"/>
      <c r="O307" s="16"/>
      <c r="P307" s="16"/>
      <c r="Q307" s="16"/>
      <c r="R307" s="16"/>
      <c r="S307" s="16"/>
      <c r="T307" s="16"/>
      <c r="U307" s="15"/>
      <c r="V307" s="26">
        <f>SUM(V306:V306)</f>
        <v>1551755.7</v>
      </c>
      <c r="W307" s="26"/>
      <c r="X307" s="26">
        <f>SUM(X306:X306)</f>
        <v>0</v>
      </c>
      <c r="Y307" s="26">
        <f>SUM(Y306:Y306)</f>
        <v>0</v>
      </c>
      <c r="Z307" s="80">
        <f>SUM(Z306:Z306)</f>
        <v>0</v>
      </c>
      <c r="AA307" s="28">
        <f>V307-(X307+Y307+Z307)</f>
        <v>1551755.7</v>
      </c>
    </row>
    <row r="308" spans="1:27" s="13" customFormat="1" ht="93.75" customHeight="1" x14ac:dyDescent="0.25">
      <c r="A308" s="17" t="str">
        <f>IF(OR(D308=0,D308=""),"",COUNTA($D$306:D308))</f>
        <v/>
      </c>
      <c r="B308" s="17"/>
      <c r="C308" s="89" t="s">
        <v>1177</v>
      </c>
      <c r="D308" s="21"/>
      <c r="E308" s="26"/>
      <c r="F308" s="26"/>
      <c r="G308" s="26"/>
      <c r="H308" s="17"/>
      <c r="I308" s="15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17"/>
      <c r="V308" s="55"/>
      <c r="W308" s="72"/>
      <c r="X308" s="37"/>
      <c r="Y308" s="71"/>
      <c r="Z308" s="55"/>
      <c r="AA308" s="71"/>
    </row>
    <row r="309" spans="1:27" s="13" customFormat="1" ht="93.75" customHeight="1" x14ac:dyDescent="0.25">
      <c r="A309" s="17">
        <f>IF(OR(D309=0,D309=""),"",COUNTA($D$306:D309))</f>
        <v>2</v>
      </c>
      <c r="B309" s="17" t="s">
        <v>621</v>
      </c>
      <c r="C309" s="90" t="s">
        <v>454</v>
      </c>
      <c r="D309" s="43">
        <v>1997</v>
      </c>
      <c r="E309" s="16">
        <v>2106</v>
      </c>
      <c r="F309" s="16">
        <v>1906</v>
      </c>
      <c r="G309" s="16">
        <v>0</v>
      </c>
      <c r="H309" s="17" t="s">
        <v>257</v>
      </c>
      <c r="I309" s="15"/>
      <c r="J309" s="16"/>
      <c r="K309" s="16"/>
      <c r="L309" s="26"/>
      <c r="M309" s="26"/>
      <c r="N309" s="26"/>
      <c r="O309" s="26"/>
      <c r="P309" s="16">
        <f>2304*E309</f>
        <v>4852224</v>
      </c>
      <c r="Q309" s="26"/>
      <c r="R309" s="16"/>
      <c r="S309" s="26"/>
      <c r="T309" s="26"/>
      <c r="U309" s="17"/>
      <c r="V309" s="19">
        <f t="shared" ref="V309" si="65">J309+K309+L309+M309+N309+O309+P309+Q309+R309+S309+T309+U309</f>
        <v>4852224</v>
      </c>
      <c r="W309" s="20" t="s">
        <v>1174</v>
      </c>
      <c r="X309" s="37">
        <v>0</v>
      </c>
      <c r="Y309" s="37">
        <v>0</v>
      </c>
      <c r="Z309" s="79">
        <v>0</v>
      </c>
      <c r="AA309" s="19">
        <f>V309-(X309+Y309+Z309)</f>
        <v>4852224</v>
      </c>
    </row>
    <row r="310" spans="1:27" s="13" customFormat="1" ht="93.75" customHeight="1" x14ac:dyDescent="0.25">
      <c r="A310" s="17" t="str">
        <f>IF(OR(D310=0,D310=""),"",COUNTA($D$306:D310))</f>
        <v/>
      </c>
      <c r="B310" s="17"/>
      <c r="C310" s="89"/>
      <c r="D310" s="21"/>
      <c r="E310" s="26">
        <f>SUM(E309:E309)</f>
        <v>2106</v>
      </c>
      <c r="F310" s="26">
        <f>SUM(F309:F309)</f>
        <v>1906</v>
      </c>
      <c r="G310" s="26">
        <f>SUM(G309:G309)</f>
        <v>0</v>
      </c>
      <c r="H310" s="17"/>
      <c r="I310" s="15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17"/>
      <c r="V310" s="26">
        <f>SUM(V309:V309)</f>
        <v>4852224</v>
      </c>
      <c r="W310" s="26"/>
      <c r="X310" s="26">
        <f>SUM(X309:X309)</f>
        <v>0</v>
      </c>
      <c r="Y310" s="26">
        <f>SUM(Y309:Y309)</f>
        <v>0</v>
      </c>
      <c r="Z310" s="80">
        <f>SUM(Z309:Z309)</f>
        <v>0</v>
      </c>
      <c r="AA310" s="28">
        <f>V310-(X310+Y310+Z310)</f>
        <v>4852224</v>
      </c>
    </row>
    <row r="311" spans="1:27" s="12" customFormat="1" ht="93.75" customHeight="1" x14ac:dyDescent="0.25">
      <c r="A311" s="17" t="str">
        <f>IF(OR(D311=0,D311=""),"",COUNTA($D$306:D311))</f>
        <v/>
      </c>
      <c r="B311" s="17"/>
      <c r="C311" s="89" t="s">
        <v>1210</v>
      </c>
      <c r="D311" s="43"/>
      <c r="E311" s="16"/>
      <c r="F311" s="16"/>
      <c r="G311" s="16"/>
      <c r="H311" s="17"/>
      <c r="I311" s="15"/>
      <c r="J311" s="16"/>
      <c r="K311" s="16"/>
      <c r="L311" s="16"/>
      <c r="M311" s="18"/>
      <c r="N311" s="16"/>
      <c r="O311" s="16"/>
      <c r="P311" s="16"/>
      <c r="Q311" s="16"/>
      <c r="R311" s="16"/>
      <c r="S311" s="16"/>
      <c r="T311" s="16"/>
      <c r="U311" s="15"/>
      <c r="V311" s="26"/>
      <c r="W311" s="20"/>
      <c r="X311" s="37"/>
      <c r="Y311" s="37"/>
      <c r="Z311" s="20"/>
      <c r="AA311" s="26"/>
    </row>
    <row r="312" spans="1:27" s="12" customFormat="1" ht="93.75" customHeight="1" x14ac:dyDescent="0.25">
      <c r="A312" s="17">
        <f>IF(OR(D312=0,D312=""),"",COUNTA($D$306:D312))</f>
        <v>3</v>
      </c>
      <c r="B312" s="17" t="s">
        <v>645</v>
      </c>
      <c r="C312" s="90" t="s">
        <v>490</v>
      </c>
      <c r="D312" s="43">
        <v>1969</v>
      </c>
      <c r="E312" s="16">
        <v>6900.2</v>
      </c>
      <c r="F312" s="16">
        <v>5733.2</v>
      </c>
      <c r="G312" s="16">
        <v>0</v>
      </c>
      <c r="H312" s="17" t="s">
        <v>257</v>
      </c>
      <c r="I312" s="15"/>
      <c r="J312" s="16"/>
      <c r="K312" s="16"/>
      <c r="L312" s="16"/>
      <c r="M312" s="18"/>
      <c r="N312" s="16"/>
      <c r="O312" s="16"/>
      <c r="P312" s="16">
        <f>2304*E312</f>
        <v>15898060.799999999</v>
      </c>
      <c r="Q312" s="16"/>
      <c r="R312" s="16"/>
      <c r="S312" s="16"/>
      <c r="T312" s="16"/>
      <c r="U312" s="16"/>
      <c r="V312" s="19">
        <f t="shared" ref="V312:V313" si="66">J312+K312+L312+M312+N312+O312+P312+Q312+R312+S312+T312+U312</f>
        <v>15898060.799999999</v>
      </c>
      <c r="W312" s="20" t="s">
        <v>1174</v>
      </c>
      <c r="X312" s="37">
        <v>0</v>
      </c>
      <c r="Y312" s="37">
        <v>0</v>
      </c>
      <c r="Z312" s="79">
        <v>0</v>
      </c>
      <c r="AA312" s="19">
        <f t="shared" ref="AA312:AA324" si="67">V312-(X312+Y312+Z312)</f>
        <v>15898060.799999999</v>
      </c>
    </row>
    <row r="313" spans="1:27" s="12" customFormat="1" ht="93.75" customHeight="1" x14ac:dyDescent="0.25">
      <c r="A313" s="17">
        <f>IF(OR(D313=0,D313=""),"",COUNTA($D$306:D313))</f>
        <v>4</v>
      </c>
      <c r="B313" s="17" t="s">
        <v>633</v>
      </c>
      <c r="C313" s="90" t="s">
        <v>287</v>
      </c>
      <c r="D313" s="43">
        <v>1967</v>
      </c>
      <c r="E313" s="16">
        <v>4347.2</v>
      </c>
      <c r="F313" s="16">
        <v>3351.35</v>
      </c>
      <c r="G313" s="16">
        <v>0</v>
      </c>
      <c r="H313" s="17" t="s">
        <v>257</v>
      </c>
      <c r="I313" s="16"/>
      <c r="J313" s="16"/>
      <c r="K313" s="16">
        <f>1145*E313</f>
        <v>4977544</v>
      </c>
      <c r="L313" s="16"/>
      <c r="M313" s="16">
        <f>826*E313</f>
        <v>3590787.1999999997</v>
      </c>
      <c r="N313" s="16">
        <f>367*E313</f>
        <v>1595422.4</v>
      </c>
      <c r="O313" s="16"/>
      <c r="P313" s="16"/>
      <c r="Q313" s="16"/>
      <c r="R313" s="16"/>
      <c r="S313" s="16"/>
      <c r="T313" s="16"/>
      <c r="U313" s="16"/>
      <c r="V313" s="19">
        <f t="shared" si="66"/>
        <v>10163753.6</v>
      </c>
      <c r="W313" s="20" t="s">
        <v>1174</v>
      </c>
      <c r="X313" s="37">
        <v>0</v>
      </c>
      <c r="Y313" s="37">
        <v>0</v>
      </c>
      <c r="Z313" s="79">
        <v>0</v>
      </c>
      <c r="AA313" s="19">
        <f t="shared" si="67"/>
        <v>10163753.6</v>
      </c>
    </row>
    <row r="314" spans="1:27" s="12" customFormat="1" ht="93.75" customHeight="1" x14ac:dyDescent="0.25">
      <c r="A314" s="17">
        <f>IF(OR(D314=0,D314=""),"",COUNTA($D$306:D314))</f>
        <v>5</v>
      </c>
      <c r="B314" s="17" t="s">
        <v>654</v>
      </c>
      <c r="C314" s="90" t="s">
        <v>280</v>
      </c>
      <c r="D314" s="43">
        <v>1984</v>
      </c>
      <c r="E314" s="16">
        <v>19875.509999999998</v>
      </c>
      <c r="F314" s="16">
        <v>13425.91</v>
      </c>
      <c r="G314" s="16">
        <v>46.8</v>
      </c>
      <c r="H314" s="17" t="s">
        <v>255</v>
      </c>
      <c r="I314" s="15">
        <v>7</v>
      </c>
      <c r="J314" s="16"/>
      <c r="K314" s="16"/>
      <c r="L314" s="16"/>
      <c r="M314" s="18"/>
      <c r="N314" s="16"/>
      <c r="O314" s="16">
        <f t="shared" ref="O314:O317" si="68">2900000*I314</f>
        <v>20300000</v>
      </c>
      <c r="P314" s="16"/>
      <c r="Q314" s="16"/>
      <c r="R314" s="16"/>
      <c r="S314" s="16"/>
      <c r="T314" s="16">
        <f>48*E314</f>
        <v>954024.48</v>
      </c>
      <c r="U314" s="16"/>
      <c r="V314" s="19">
        <f t="shared" ref="V314:V340" si="69">J314+K314+L314+M314+N314+O314+P314+Q314+R314+S314+T314+U314</f>
        <v>21254024.48</v>
      </c>
      <c r="W314" s="20" t="s">
        <v>1174</v>
      </c>
      <c r="X314" s="37">
        <v>5151358.38</v>
      </c>
      <c r="Y314" s="37">
        <v>5151358.38</v>
      </c>
      <c r="Z314" s="79">
        <v>0</v>
      </c>
      <c r="AA314" s="19">
        <f t="shared" si="67"/>
        <v>10951307.720000001</v>
      </c>
    </row>
    <row r="315" spans="1:27" s="12" customFormat="1" ht="93.75" customHeight="1" x14ac:dyDescent="0.25">
      <c r="A315" s="17">
        <f>IF(OR(D315=0,D315=""),"",COUNTA($D$306:D315))</f>
        <v>6</v>
      </c>
      <c r="B315" s="17" t="s">
        <v>653</v>
      </c>
      <c r="C315" s="90" t="s">
        <v>279</v>
      </c>
      <c r="D315" s="43">
        <v>1973</v>
      </c>
      <c r="E315" s="16">
        <v>4568</v>
      </c>
      <c r="F315" s="16">
        <v>2063.1</v>
      </c>
      <c r="G315" s="16">
        <v>247.8</v>
      </c>
      <c r="H315" s="17" t="s">
        <v>255</v>
      </c>
      <c r="I315" s="15">
        <v>1</v>
      </c>
      <c r="J315" s="16"/>
      <c r="K315" s="16"/>
      <c r="L315" s="16"/>
      <c r="M315" s="18"/>
      <c r="N315" s="16"/>
      <c r="O315" s="16">
        <f t="shared" si="68"/>
        <v>2900000</v>
      </c>
      <c r="P315" s="16"/>
      <c r="Q315" s="16"/>
      <c r="R315" s="16"/>
      <c r="S315" s="16"/>
      <c r="T315" s="16">
        <f>48*E315</f>
        <v>219264</v>
      </c>
      <c r="U315" s="16"/>
      <c r="V315" s="19">
        <f t="shared" si="69"/>
        <v>3119264</v>
      </c>
      <c r="W315" s="20" t="s">
        <v>1174</v>
      </c>
      <c r="X315" s="37">
        <v>735908.34</v>
      </c>
      <c r="Y315" s="37">
        <v>735908.34</v>
      </c>
      <c r="Z315" s="79">
        <v>0</v>
      </c>
      <c r="AA315" s="19">
        <f t="shared" si="67"/>
        <v>1647447.32</v>
      </c>
    </row>
    <row r="316" spans="1:27" s="12" customFormat="1" ht="93.75" customHeight="1" x14ac:dyDescent="0.25">
      <c r="A316" s="17">
        <f>IF(OR(D316=0,D316=""),"",COUNTA($D$306:D316))</f>
        <v>7</v>
      </c>
      <c r="B316" s="17" t="s">
        <v>637</v>
      </c>
      <c r="C316" s="90" t="s">
        <v>376</v>
      </c>
      <c r="D316" s="43">
        <v>1971</v>
      </c>
      <c r="E316" s="16">
        <v>3198.2</v>
      </c>
      <c r="F316" s="16">
        <v>2180.9</v>
      </c>
      <c r="G316" s="16">
        <v>0</v>
      </c>
      <c r="H316" s="17" t="s">
        <v>255</v>
      </c>
      <c r="I316" s="15">
        <v>1</v>
      </c>
      <c r="J316" s="16"/>
      <c r="K316" s="16"/>
      <c r="L316" s="16"/>
      <c r="M316" s="18"/>
      <c r="N316" s="16"/>
      <c r="O316" s="16">
        <f t="shared" si="68"/>
        <v>2900000</v>
      </c>
      <c r="P316" s="16"/>
      <c r="Q316" s="16"/>
      <c r="R316" s="16"/>
      <c r="S316" s="16"/>
      <c r="T316" s="16">
        <f>48*E316</f>
        <v>153513.59999999998</v>
      </c>
      <c r="U316" s="16"/>
      <c r="V316" s="19">
        <f t="shared" si="69"/>
        <v>3053513.6</v>
      </c>
      <c r="W316" s="20" t="s">
        <v>1174</v>
      </c>
      <c r="X316" s="37">
        <v>735908.34</v>
      </c>
      <c r="Y316" s="37">
        <v>735908.34</v>
      </c>
      <c r="Z316" s="79">
        <v>0</v>
      </c>
      <c r="AA316" s="19">
        <f t="shared" si="67"/>
        <v>1581696.9200000002</v>
      </c>
    </row>
    <row r="317" spans="1:27" s="12" customFormat="1" ht="93.75" customHeight="1" x14ac:dyDescent="0.25">
      <c r="A317" s="17">
        <f>IF(OR(D317=0,D317=""),"",COUNTA($D$306:D317))</f>
        <v>8</v>
      </c>
      <c r="B317" s="17" t="s">
        <v>638</v>
      </c>
      <c r="C317" s="90" t="s">
        <v>377</v>
      </c>
      <c r="D317" s="43">
        <v>1973</v>
      </c>
      <c r="E317" s="16">
        <v>3334.2</v>
      </c>
      <c r="F317" s="16">
        <v>2308.5</v>
      </c>
      <c r="G317" s="16">
        <v>0</v>
      </c>
      <c r="H317" s="17" t="s">
        <v>255</v>
      </c>
      <c r="I317" s="15">
        <v>1</v>
      </c>
      <c r="J317" s="16"/>
      <c r="K317" s="16"/>
      <c r="L317" s="16"/>
      <c r="M317" s="18"/>
      <c r="N317" s="16"/>
      <c r="O317" s="16">
        <f t="shared" si="68"/>
        <v>2900000</v>
      </c>
      <c r="P317" s="16"/>
      <c r="Q317" s="16"/>
      <c r="R317" s="16"/>
      <c r="S317" s="16"/>
      <c r="T317" s="16">
        <f>48*E317</f>
        <v>160041.59999999998</v>
      </c>
      <c r="U317" s="16"/>
      <c r="V317" s="19">
        <f t="shared" si="69"/>
        <v>3060041.6</v>
      </c>
      <c r="W317" s="20" t="s">
        <v>1174</v>
      </c>
      <c r="X317" s="37">
        <v>0</v>
      </c>
      <c r="Y317" s="37">
        <v>0</v>
      </c>
      <c r="Z317" s="79">
        <v>0</v>
      </c>
      <c r="AA317" s="19">
        <f t="shared" si="67"/>
        <v>3060041.6</v>
      </c>
    </row>
    <row r="318" spans="1:27" s="12" customFormat="1" ht="93.75" customHeight="1" x14ac:dyDescent="0.25">
      <c r="A318" s="17">
        <f>IF(OR(D318=0,D318=""),"",COUNTA($D$306:D318))</f>
        <v>9</v>
      </c>
      <c r="B318" s="17" t="s">
        <v>626</v>
      </c>
      <c r="C318" s="90" t="s">
        <v>378</v>
      </c>
      <c r="D318" s="43">
        <v>1993</v>
      </c>
      <c r="E318" s="16">
        <v>6663.1</v>
      </c>
      <c r="F318" s="16">
        <v>4785.6000000000004</v>
      </c>
      <c r="G318" s="16">
        <v>77.400000000000006</v>
      </c>
      <c r="H318" s="17" t="s">
        <v>252</v>
      </c>
      <c r="I318" s="15">
        <v>2</v>
      </c>
      <c r="J318" s="16"/>
      <c r="K318" s="16"/>
      <c r="L318" s="16"/>
      <c r="M318" s="18"/>
      <c r="N318" s="16"/>
      <c r="O318" s="16">
        <f>3100000+3400000</f>
        <v>6500000</v>
      </c>
      <c r="P318" s="16"/>
      <c r="Q318" s="16"/>
      <c r="R318" s="16"/>
      <c r="S318" s="16"/>
      <c r="T318" s="16">
        <f>68*E318</f>
        <v>453090.80000000005</v>
      </c>
      <c r="U318" s="16"/>
      <c r="V318" s="19">
        <f t="shared" si="69"/>
        <v>6953090.7999999998</v>
      </c>
      <c r="W318" s="20" t="s">
        <v>1174</v>
      </c>
      <c r="X318" s="37">
        <v>1485148.5</v>
      </c>
      <c r="Y318" s="37">
        <v>2369133.29</v>
      </c>
      <c r="Z318" s="79">
        <v>0</v>
      </c>
      <c r="AA318" s="19">
        <f t="shared" si="67"/>
        <v>3098809.01</v>
      </c>
    </row>
    <row r="319" spans="1:27" s="12" customFormat="1" ht="93.75" customHeight="1" x14ac:dyDescent="0.25">
      <c r="A319" s="17">
        <f>IF(OR(D319=0,D319=""),"",COUNTA($D$306:D319))</f>
        <v>10</v>
      </c>
      <c r="B319" s="17" t="s">
        <v>628</v>
      </c>
      <c r="C319" s="90" t="s">
        <v>379</v>
      </c>
      <c r="D319" s="43">
        <v>1985</v>
      </c>
      <c r="E319" s="16">
        <v>15062.6</v>
      </c>
      <c r="F319" s="16">
        <v>10746</v>
      </c>
      <c r="G319" s="16">
        <v>1232.8</v>
      </c>
      <c r="H319" s="17" t="s">
        <v>255</v>
      </c>
      <c r="I319" s="15">
        <v>6</v>
      </c>
      <c r="J319" s="16"/>
      <c r="K319" s="16"/>
      <c r="L319" s="16"/>
      <c r="M319" s="18"/>
      <c r="N319" s="16"/>
      <c r="O319" s="16">
        <f t="shared" ref="O319:O337" si="70">2900000*I319</f>
        <v>17400000</v>
      </c>
      <c r="P319" s="16"/>
      <c r="Q319" s="16"/>
      <c r="R319" s="16"/>
      <c r="S319" s="16"/>
      <c r="T319" s="16">
        <f t="shared" ref="T319:T337" si="71">48*E319</f>
        <v>723004.8</v>
      </c>
      <c r="U319" s="16"/>
      <c r="V319" s="19">
        <f t="shared" si="69"/>
        <v>18123004.800000001</v>
      </c>
      <c r="W319" s="20" t="s">
        <v>1174</v>
      </c>
      <c r="X319" s="37">
        <v>4415450.04</v>
      </c>
      <c r="Y319" s="37">
        <v>4415450.04</v>
      </c>
      <c r="Z319" s="79">
        <v>0</v>
      </c>
      <c r="AA319" s="19">
        <f t="shared" si="67"/>
        <v>9292104.7200000007</v>
      </c>
    </row>
    <row r="320" spans="1:27" s="12" customFormat="1" ht="93.75" customHeight="1" x14ac:dyDescent="0.25">
      <c r="A320" s="17">
        <f>IF(OR(D320=0,D320=""),"",COUNTA($D$306:D320))</f>
        <v>11</v>
      </c>
      <c r="B320" s="17" t="s">
        <v>631</v>
      </c>
      <c r="C320" s="90" t="s">
        <v>380</v>
      </c>
      <c r="D320" s="43">
        <v>1984</v>
      </c>
      <c r="E320" s="16">
        <v>5639.54</v>
      </c>
      <c r="F320" s="16">
        <v>3788.44</v>
      </c>
      <c r="G320" s="16">
        <v>0</v>
      </c>
      <c r="H320" s="17" t="s">
        <v>255</v>
      </c>
      <c r="I320" s="15">
        <v>2</v>
      </c>
      <c r="J320" s="16"/>
      <c r="K320" s="16"/>
      <c r="L320" s="16"/>
      <c r="M320" s="18"/>
      <c r="N320" s="16"/>
      <c r="O320" s="16">
        <f t="shared" si="70"/>
        <v>5800000</v>
      </c>
      <c r="P320" s="16"/>
      <c r="Q320" s="16"/>
      <c r="R320" s="16"/>
      <c r="S320" s="16"/>
      <c r="T320" s="16">
        <f t="shared" si="71"/>
        <v>270697.92</v>
      </c>
      <c r="U320" s="16"/>
      <c r="V320" s="19">
        <f t="shared" si="69"/>
        <v>6070697.9199999999</v>
      </c>
      <c r="W320" s="20" t="s">
        <v>1174</v>
      </c>
      <c r="X320" s="37">
        <v>1471816.68</v>
      </c>
      <c r="Y320" s="37">
        <v>1471816.68</v>
      </c>
      <c r="Z320" s="79">
        <v>0</v>
      </c>
      <c r="AA320" s="19">
        <f t="shared" si="67"/>
        <v>3127064.56</v>
      </c>
    </row>
    <row r="321" spans="1:27" s="12" customFormat="1" ht="93.75" customHeight="1" x14ac:dyDescent="0.25">
      <c r="A321" s="17">
        <f>IF(OR(D321=0,D321=""),"",COUNTA($D$306:D321))</f>
        <v>12</v>
      </c>
      <c r="B321" s="17" t="s">
        <v>632</v>
      </c>
      <c r="C321" s="90" t="s">
        <v>381</v>
      </c>
      <c r="D321" s="43">
        <v>1983</v>
      </c>
      <c r="E321" s="16">
        <v>11155.1</v>
      </c>
      <c r="F321" s="16">
        <v>7383.5</v>
      </c>
      <c r="G321" s="16">
        <v>149.1</v>
      </c>
      <c r="H321" s="17" t="s">
        <v>255</v>
      </c>
      <c r="I321" s="15">
        <v>4</v>
      </c>
      <c r="J321" s="16"/>
      <c r="K321" s="16"/>
      <c r="L321" s="16"/>
      <c r="M321" s="18"/>
      <c r="N321" s="16"/>
      <c r="O321" s="16">
        <f t="shared" si="70"/>
        <v>11600000</v>
      </c>
      <c r="P321" s="16"/>
      <c r="Q321" s="16"/>
      <c r="R321" s="16"/>
      <c r="S321" s="16"/>
      <c r="T321" s="16">
        <f t="shared" si="71"/>
        <v>535444.80000000005</v>
      </c>
      <c r="U321" s="16"/>
      <c r="V321" s="19">
        <f t="shared" si="69"/>
        <v>12135444.800000001</v>
      </c>
      <c r="W321" s="20" t="s">
        <v>1174</v>
      </c>
      <c r="X321" s="37">
        <v>2943633.36</v>
      </c>
      <c r="Y321" s="37">
        <v>2943633.36</v>
      </c>
      <c r="Z321" s="79">
        <v>0</v>
      </c>
      <c r="AA321" s="19">
        <f t="shared" si="67"/>
        <v>6248178.080000001</v>
      </c>
    </row>
    <row r="322" spans="1:27" s="12" customFormat="1" ht="93.75" customHeight="1" x14ac:dyDescent="0.25">
      <c r="A322" s="17">
        <f>IF(OR(D322=0,D322=""),"",COUNTA($D$306:D322))</f>
        <v>13</v>
      </c>
      <c r="B322" s="17" t="s">
        <v>650</v>
      </c>
      <c r="C322" s="90" t="s">
        <v>382</v>
      </c>
      <c r="D322" s="43">
        <v>1983</v>
      </c>
      <c r="E322" s="16">
        <v>18645.900000000001</v>
      </c>
      <c r="F322" s="16">
        <v>13140.6</v>
      </c>
      <c r="G322" s="16">
        <v>27.4</v>
      </c>
      <c r="H322" s="17" t="s">
        <v>255</v>
      </c>
      <c r="I322" s="15">
        <v>7</v>
      </c>
      <c r="J322" s="16"/>
      <c r="K322" s="16"/>
      <c r="L322" s="16"/>
      <c r="M322" s="18"/>
      <c r="N322" s="16"/>
      <c r="O322" s="16">
        <f t="shared" si="70"/>
        <v>20300000</v>
      </c>
      <c r="P322" s="16"/>
      <c r="Q322" s="16"/>
      <c r="R322" s="16"/>
      <c r="S322" s="16"/>
      <c r="T322" s="16">
        <f t="shared" si="71"/>
        <v>895003.20000000007</v>
      </c>
      <c r="U322" s="16"/>
      <c r="V322" s="19">
        <f t="shared" si="69"/>
        <v>21195003.199999999</v>
      </c>
      <c r="W322" s="20" t="s">
        <v>1174</v>
      </c>
      <c r="X322" s="37">
        <v>5151358.38</v>
      </c>
      <c r="Y322" s="37">
        <v>5151358.38</v>
      </c>
      <c r="Z322" s="79">
        <v>0</v>
      </c>
      <c r="AA322" s="19">
        <f t="shared" si="67"/>
        <v>10892286.439999999</v>
      </c>
    </row>
    <row r="323" spans="1:27" s="12" customFormat="1" ht="93.75" customHeight="1" x14ac:dyDescent="0.25">
      <c r="A323" s="17">
        <f>IF(OR(D323=0,D323=""),"",COUNTA($D$306:D323))</f>
        <v>14</v>
      </c>
      <c r="B323" s="17" t="s">
        <v>1162</v>
      </c>
      <c r="C323" s="90" t="s">
        <v>383</v>
      </c>
      <c r="D323" s="43">
        <v>1988</v>
      </c>
      <c r="E323" s="16">
        <v>7693.5</v>
      </c>
      <c r="F323" s="16">
        <v>4905.8100000000004</v>
      </c>
      <c r="G323" s="16">
        <v>0</v>
      </c>
      <c r="H323" s="17" t="s">
        <v>255</v>
      </c>
      <c r="I323" s="15">
        <v>1</v>
      </c>
      <c r="J323" s="16"/>
      <c r="K323" s="16"/>
      <c r="L323" s="16"/>
      <c r="M323" s="18"/>
      <c r="N323" s="16"/>
      <c r="O323" s="16">
        <f t="shared" si="70"/>
        <v>2900000</v>
      </c>
      <c r="P323" s="16"/>
      <c r="Q323" s="16"/>
      <c r="R323" s="16"/>
      <c r="S323" s="16"/>
      <c r="T323" s="16">
        <f t="shared" si="71"/>
        <v>369288</v>
      </c>
      <c r="U323" s="16"/>
      <c r="V323" s="19">
        <f t="shared" si="69"/>
        <v>3269288</v>
      </c>
      <c r="W323" s="20" t="s">
        <v>1174</v>
      </c>
      <c r="X323" s="37">
        <v>735908.34</v>
      </c>
      <c r="Y323" s="37">
        <v>735908.34</v>
      </c>
      <c r="Z323" s="79">
        <v>0</v>
      </c>
      <c r="AA323" s="19">
        <f t="shared" si="67"/>
        <v>1797471.32</v>
      </c>
    </row>
    <row r="324" spans="1:27" s="12" customFormat="1" ht="93.75" customHeight="1" x14ac:dyDescent="0.25">
      <c r="A324" s="17">
        <f>IF(OR(D324=0,D324=""),"",COUNTA($D$306:D324))</f>
        <v>15</v>
      </c>
      <c r="B324" s="17" t="s">
        <v>668</v>
      </c>
      <c r="C324" s="90" t="s">
        <v>384</v>
      </c>
      <c r="D324" s="43">
        <v>1986</v>
      </c>
      <c r="E324" s="16">
        <v>7395.8</v>
      </c>
      <c r="F324" s="16">
        <v>4449.3</v>
      </c>
      <c r="G324" s="16">
        <v>286.8</v>
      </c>
      <c r="H324" s="17" t="s">
        <v>255</v>
      </c>
      <c r="I324" s="15">
        <v>1</v>
      </c>
      <c r="J324" s="16"/>
      <c r="K324" s="16"/>
      <c r="L324" s="16"/>
      <c r="M324" s="18"/>
      <c r="N324" s="16"/>
      <c r="O324" s="16">
        <f t="shared" si="70"/>
        <v>2900000</v>
      </c>
      <c r="P324" s="16"/>
      <c r="Q324" s="16"/>
      <c r="R324" s="16"/>
      <c r="S324" s="16"/>
      <c r="T324" s="16">
        <f t="shared" si="71"/>
        <v>354998.4</v>
      </c>
      <c r="U324" s="16"/>
      <c r="V324" s="19">
        <f t="shared" si="69"/>
        <v>3254998.4</v>
      </c>
      <c r="W324" s="20" t="s">
        <v>1174</v>
      </c>
      <c r="X324" s="37">
        <v>735908.34</v>
      </c>
      <c r="Y324" s="37">
        <v>735908.34</v>
      </c>
      <c r="Z324" s="79">
        <v>0</v>
      </c>
      <c r="AA324" s="19">
        <f t="shared" si="67"/>
        <v>1783181.72</v>
      </c>
    </row>
    <row r="325" spans="1:27" s="12" customFormat="1" ht="93.75" customHeight="1" x14ac:dyDescent="0.25">
      <c r="A325" s="17">
        <f>IF(OR(D325=0,D325=""),"",COUNTA($D$306:D325))</f>
        <v>16</v>
      </c>
      <c r="B325" s="17" t="s">
        <v>673</v>
      </c>
      <c r="C325" s="90" t="s">
        <v>385</v>
      </c>
      <c r="D325" s="43">
        <v>1988</v>
      </c>
      <c r="E325" s="16">
        <v>7253.51</v>
      </c>
      <c r="F325" s="16">
        <v>4559.42</v>
      </c>
      <c r="G325" s="16">
        <v>0</v>
      </c>
      <c r="H325" s="17" t="s">
        <v>255</v>
      </c>
      <c r="I325" s="15">
        <v>1</v>
      </c>
      <c r="J325" s="16"/>
      <c r="K325" s="16"/>
      <c r="L325" s="16"/>
      <c r="M325" s="18"/>
      <c r="N325" s="16"/>
      <c r="O325" s="16">
        <f t="shared" si="70"/>
        <v>2900000</v>
      </c>
      <c r="P325" s="16"/>
      <c r="Q325" s="16"/>
      <c r="R325" s="16"/>
      <c r="S325" s="16"/>
      <c r="T325" s="16">
        <f t="shared" si="71"/>
        <v>348168.48</v>
      </c>
      <c r="U325" s="16"/>
      <c r="V325" s="19">
        <f t="shared" si="69"/>
        <v>3248168.48</v>
      </c>
      <c r="W325" s="20" t="s">
        <v>1174</v>
      </c>
      <c r="X325" s="37">
        <v>735908.34</v>
      </c>
      <c r="Y325" s="37">
        <v>735908.34</v>
      </c>
      <c r="Z325" s="79">
        <v>0</v>
      </c>
      <c r="AA325" s="19">
        <f t="shared" ref="AA325:AA341" si="72">V325-(X325+Y325+Z325)</f>
        <v>1776351.8</v>
      </c>
    </row>
    <row r="326" spans="1:27" s="12" customFormat="1" ht="93.75" customHeight="1" x14ac:dyDescent="0.25">
      <c r="A326" s="17">
        <f>IF(OR(D326=0,D326=""),"",COUNTA($D$306:D326))</f>
        <v>17</v>
      </c>
      <c r="B326" s="17" t="s">
        <v>674</v>
      </c>
      <c r="C326" s="90" t="s">
        <v>386</v>
      </c>
      <c r="D326" s="43">
        <v>1987</v>
      </c>
      <c r="E326" s="16">
        <v>7386.7</v>
      </c>
      <c r="F326" s="16">
        <v>4693.3</v>
      </c>
      <c r="G326" s="16">
        <v>0</v>
      </c>
      <c r="H326" s="17" t="s">
        <v>255</v>
      </c>
      <c r="I326" s="15">
        <v>1</v>
      </c>
      <c r="J326" s="16"/>
      <c r="K326" s="16"/>
      <c r="L326" s="16"/>
      <c r="M326" s="18"/>
      <c r="N326" s="16"/>
      <c r="O326" s="16">
        <f t="shared" si="70"/>
        <v>2900000</v>
      </c>
      <c r="P326" s="16"/>
      <c r="Q326" s="16"/>
      <c r="R326" s="16"/>
      <c r="S326" s="16"/>
      <c r="T326" s="16">
        <f t="shared" si="71"/>
        <v>354561.6</v>
      </c>
      <c r="U326" s="16"/>
      <c r="V326" s="19">
        <f t="shared" si="69"/>
        <v>3254561.6</v>
      </c>
      <c r="W326" s="20" t="s">
        <v>1174</v>
      </c>
      <c r="X326" s="37">
        <v>735908.34</v>
      </c>
      <c r="Y326" s="37">
        <v>735908.34</v>
      </c>
      <c r="Z326" s="79">
        <v>0</v>
      </c>
      <c r="AA326" s="19">
        <f t="shared" si="72"/>
        <v>1782744.9200000002</v>
      </c>
    </row>
    <row r="327" spans="1:27" s="12" customFormat="1" ht="93.75" customHeight="1" x14ac:dyDescent="0.25">
      <c r="A327" s="17">
        <f>IF(OR(D327=0,D327=""),"",COUNTA($D$306:D327))</f>
        <v>18</v>
      </c>
      <c r="B327" s="17" t="s">
        <v>623</v>
      </c>
      <c r="C327" s="93" t="s">
        <v>603</v>
      </c>
      <c r="D327" s="52">
        <v>1993</v>
      </c>
      <c r="E327" s="16">
        <v>5671.1</v>
      </c>
      <c r="F327" s="16">
        <v>3800.5</v>
      </c>
      <c r="G327" s="16">
        <v>0</v>
      </c>
      <c r="H327" s="17" t="s">
        <v>255</v>
      </c>
      <c r="I327" s="15">
        <v>2</v>
      </c>
      <c r="J327" s="16"/>
      <c r="K327" s="16"/>
      <c r="L327" s="16"/>
      <c r="M327" s="18"/>
      <c r="N327" s="16"/>
      <c r="O327" s="16">
        <f t="shared" si="70"/>
        <v>5800000</v>
      </c>
      <c r="P327" s="47"/>
      <c r="Q327" s="47"/>
      <c r="R327" s="47"/>
      <c r="S327" s="47"/>
      <c r="T327" s="16">
        <f t="shared" si="71"/>
        <v>272212.80000000005</v>
      </c>
      <c r="U327" s="16"/>
      <c r="V327" s="19">
        <f t="shared" si="69"/>
        <v>6072212.7999999998</v>
      </c>
      <c r="W327" s="20" t="s">
        <v>1174</v>
      </c>
      <c r="X327" s="37">
        <v>1471816.68</v>
      </c>
      <c r="Y327" s="37">
        <v>1471816.68</v>
      </c>
      <c r="Z327" s="79">
        <v>0</v>
      </c>
      <c r="AA327" s="19">
        <f t="shared" si="72"/>
        <v>3128579.44</v>
      </c>
    </row>
    <row r="328" spans="1:27" s="12" customFormat="1" ht="93.75" customHeight="1" x14ac:dyDescent="0.25">
      <c r="A328" s="17">
        <f>IF(OR(D328=0,D328=""),"",COUNTA($D$306:D328))</f>
        <v>19</v>
      </c>
      <c r="B328" s="17" t="s">
        <v>625</v>
      </c>
      <c r="C328" s="93" t="s">
        <v>455</v>
      </c>
      <c r="D328" s="52">
        <v>1995</v>
      </c>
      <c r="E328" s="16">
        <v>6431.7</v>
      </c>
      <c r="F328" s="16">
        <v>4305.7</v>
      </c>
      <c r="G328" s="16">
        <v>174</v>
      </c>
      <c r="H328" s="17" t="s">
        <v>255</v>
      </c>
      <c r="I328" s="15">
        <v>2</v>
      </c>
      <c r="J328" s="16"/>
      <c r="K328" s="16"/>
      <c r="L328" s="16"/>
      <c r="M328" s="18"/>
      <c r="N328" s="16"/>
      <c r="O328" s="16">
        <f t="shared" si="70"/>
        <v>5800000</v>
      </c>
      <c r="P328" s="47"/>
      <c r="Q328" s="47"/>
      <c r="R328" s="47"/>
      <c r="S328" s="47"/>
      <c r="T328" s="16">
        <f t="shared" si="71"/>
        <v>308721.59999999998</v>
      </c>
      <c r="U328" s="16"/>
      <c r="V328" s="19">
        <f t="shared" si="69"/>
        <v>6108721.5999999996</v>
      </c>
      <c r="W328" s="20" t="s">
        <v>1174</v>
      </c>
      <c r="X328" s="37">
        <v>1471816.68</v>
      </c>
      <c r="Y328" s="37">
        <v>1471816.68</v>
      </c>
      <c r="Z328" s="79">
        <v>0</v>
      </c>
      <c r="AA328" s="19">
        <f t="shared" si="72"/>
        <v>3165088.2399999998</v>
      </c>
    </row>
    <row r="329" spans="1:27" s="12" customFormat="1" ht="93.75" customHeight="1" x14ac:dyDescent="0.25">
      <c r="A329" s="17">
        <f>IF(OR(D329=0,D329=""),"",COUNTA($D$306:D329))</f>
        <v>20</v>
      </c>
      <c r="B329" s="17" t="s">
        <v>655</v>
      </c>
      <c r="C329" s="93" t="s">
        <v>456</v>
      </c>
      <c r="D329" s="52">
        <v>1994</v>
      </c>
      <c r="E329" s="16">
        <v>5584.1</v>
      </c>
      <c r="F329" s="16">
        <v>3852.8</v>
      </c>
      <c r="G329" s="16">
        <v>0</v>
      </c>
      <c r="H329" s="17" t="s">
        <v>255</v>
      </c>
      <c r="I329" s="15">
        <v>2</v>
      </c>
      <c r="J329" s="16"/>
      <c r="K329" s="16"/>
      <c r="L329" s="16"/>
      <c r="M329" s="18"/>
      <c r="N329" s="16"/>
      <c r="O329" s="16">
        <f t="shared" si="70"/>
        <v>5800000</v>
      </c>
      <c r="P329" s="47"/>
      <c r="Q329" s="47"/>
      <c r="R329" s="47"/>
      <c r="S329" s="47"/>
      <c r="T329" s="16">
        <f t="shared" si="71"/>
        <v>268036.80000000005</v>
      </c>
      <c r="U329" s="16"/>
      <c r="V329" s="19">
        <f t="shared" si="69"/>
        <v>6068036.7999999998</v>
      </c>
      <c r="W329" s="20" t="s">
        <v>1174</v>
      </c>
      <c r="X329" s="37">
        <v>1471816.68</v>
      </c>
      <c r="Y329" s="37">
        <v>1471816.68</v>
      </c>
      <c r="Z329" s="79">
        <v>0</v>
      </c>
      <c r="AA329" s="19">
        <f t="shared" si="72"/>
        <v>3124403.44</v>
      </c>
    </row>
    <row r="330" spans="1:27" s="12" customFormat="1" ht="93.75" customHeight="1" x14ac:dyDescent="0.25">
      <c r="A330" s="17">
        <f>IF(OR(D330=0,D330=""),"",COUNTA($D$306:D330))</f>
        <v>21</v>
      </c>
      <c r="B330" s="17" t="s">
        <v>656</v>
      </c>
      <c r="C330" s="93" t="s">
        <v>457</v>
      </c>
      <c r="D330" s="52">
        <v>1995</v>
      </c>
      <c r="E330" s="16">
        <v>5600.3</v>
      </c>
      <c r="F330" s="16">
        <v>3749.4</v>
      </c>
      <c r="G330" s="16">
        <v>0</v>
      </c>
      <c r="H330" s="17" t="s">
        <v>255</v>
      </c>
      <c r="I330" s="15">
        <v>2</v>
      </c>
      <c r="J330" s="16"/>
      <c r="K330" s="16"/>
      <c r="L330" s="16"/>
      <c r="M330" s="18"/>
      <c r="N330" s="16"/>
      <c r="O330" s="16">
        <f t="shared" si="70"/>
        <v>5800000</v>
      </c>
      <c r="P330" s="47"/>
      <c r="Q330" s="47"/>
      <c r="R330" s="47"/>
      <c r="S330" s="47"/>
      <c r="T330" s="16">
        <f t="shared" si="71"/>
        <v>268814.40000000002</v>
      </c>
      <c r="U330" s="16"/>
      <c r="V330" s="19">
        <f t="shared" si="69"/>
        <v>6068814.4000000004</v>
      </c>
      <c r="W330" s="20" t="s">
        <v>1174</v>
      </c>
      <c r="X330" s="37">
        <v>1471816.68</v>
      </c>
      <c r="Y330" s="37">
        <v>1471816.68</v>
      </c>
      <c r="Z330" s="79">
        <v>0</v>
      </c>
      <c r="AA330" s="19">
        <f t="shared" si="72"/>
        <v>3125181.0400000005</v>
      </c>
    </row>
    <row r="331" spans="1:27" s="12" customFormat="1" ht="93.75" customHeight="1" x14ac:dyDescent="0.25">
      <c r="A331" s="17">
        <f>IF(OR(D331=0,D331=""),"",COUNTA($D$306:D331))</f>
        <v>22</v>
      </c>
      <c r="B331" s="17" t="s">
        <v>657</v>
      </c>
      <c r="C331" s="93" t="s">
        <v>458</v>
      </c>
      <c r="D331" s="52">
        <v>1989</v>
      </c>
      <c r="E331" s="16">
        <v>11197</v>
      </c>
      <c r="F331" s="16">
        <v>7590.7</v>
      </c>
      <c r="G331" s="16">
        <v>0</v>
      </c>
      <c r="H331" s="17" t="s">
        <v>255</v>
      </c>
      <c r="I331" s="15">
        <v>4</v>
      </c>
      <c r="J331" s="16"/>
      <c r="K331" s="16"/>
      <c r="L331" s="16"/>
      <c r="M331" s="18"/>
      <c r="N331" s="16"/>
      <c r="O331" s="16">
        <f t="shared" si="70"/>
        <v>11600000</v>
      </c>
      <c r="P331" s="47"/>
      <c r="Q331" s="47"/>
      <c r="R331" s="47"/>
      <c r="S331" s="47"/>
      <c r="T331" s="16">
        <f t="shared" si="71"/>
        <v>537456</v>
      </c>
      <c r="U331" s="16"/>
      <c r="V331" s="19">
        <f t="shared" si="69"/>
        <v>12137456</v>
      </c>
      <c r="W331" s="20" t="s">
        <v>1174</v>
      </c>
      <c r="X331" s="37">
        <v>2943633.36</v>
      </c>
      <c r="Y331" s="37">
        <v>2943633.36</v>
      </c>
      <c r="Z331" s="79">
        <v>0</v>
      </c>
      <c r="AA331" s="19">
        <f t="shared" si="72"/>
        <v>6250189.2800000003</v>
      </c>
    </row>
    <row r="332" spans="1:27" s="12" customFormat="1" ht="93.75" customHeight="1" x14ac:dyDescent="0.25">
      <c r="A332" s="17">
        <f>IF(OR(D332=0,D332=""),"",COUNTA($D$306:D332))</f>
        <v>23</v>
      </c>
      <c r="B332" s="17" t="s">
        <v>658</v>
      </c>
      <c r="C332" s="93" t="s">
        <v>459</v>
      </c>
      <c r="D332" s="52">
        <v>1988</v>
      </c>
      <c r="E332" s="16">
        <v>5383.5</v>
      </c>
      <c r="F332" s="16">
        <v>3789</v>
      </c>
      <c r="G332" s="16">
        <v>0</v>
      </c>
      <c r="H332" s="17" t="s">
        <v>255</v>
      </c>
      <c r="I332" s="15">
        <v>2</v>
      </c>
      <c r="J332" s="16"/>
      <c r="K332" s="16"/>
      <c r="L332" s="16"/>
      <c r="M332" s="18"/>
      <c r="N332" s="16"/>
      <c r="O332" s="16">
        <f t="shared" si="70"/>
        <v>5800000</v>
      </c>
      <c r="P332" s="47"/>
      <c r="Q332" s="47"/>
      <c r="R332" s="47"/>
      <c r="S332" s="47"/>
      <c r="T332" s="16">
        <f t="shared" si="71"/>
        <v>258408</v>
      </c>
      <c r="U332" s="16"/>
      <c r="V332" s="19">
        <f t="shared" si="69"/>
        <v>6058408</v>
      </c>
      <c r="W332" s="20" t="s">
        <v>1174</v>
      </c>
      <c r="X332" s="37">
        <v>1471816.68</v>
      </c>
      <c r="Y332" s="37">
        <v>1471816.68</v>
      </c>
      <c r="Z332" s="79">
        <v>0</v>
      </c>
      <c r="AA332" s="19">
        <f t="shared" si="72"/>
        <v>3114774.64</v>
      </c>
    </row>
    <row r="333" spans="1:27" s="12" customFormat="1" ht="93.75" customHeight="1" x14ac:dyDescent="0.25">
      <c r="A333" s="17">
        <f>IF(OR(D333=0,D333=""),"",COUNTA($D$306:D333))</f>
        <v>24</v>
      </c>
      <c r="B333" s="17" t="s">
        <v>659</v>
      </c>
      <c r="C333" s="93" t="s">
        <v>460</v>
      </c>
      <c r="D333" s="52">
        <v>1989</v>
      </c>
      <c r="E333" s="16">
        <v>8522.91</v>
      </c>
      <c r="F333" s="16">
        <v>5745.91</v>
      </c>
      <c r="G333" s="16">
        <v>0</v>
      </c>
      <c r="H333" s="17" t="s">
        <v>255</v>
      </c>
      <c r="I333" s="15">
        <v>3</v>
      </c>
      <c r="J333" s="16"/>
      <c r="K333" s="16"/>
      <c r="L333" s="16"/>
      <c r="M333" s="18"/>
      <c r="N333" s="16"/>
      <c r="O333" s="16">
        <f t="shared" si="70"/>
        <v>8700000</v>
      </c>
      <c r="P333" s="47"/>
      <c r="Q333" s="47"/>
      <c r="R333" s="47"/>
      <c r="S333" s="47"/>
      <c r="T333" s="16">
        <f t="shared" si="71"/>
        <v>409099.68</v>
      </c>
      <c r="U333" s="16"/>
      <c r="V333" s="19">
        <f t="shared" si="69"/>
        <v>9109099.6799999997</v>
      </c>
      <c r="W333" s="20" t="s">
        <v>1174</v>
      </c>
      <c r="X333" s="37">
        <v>2207725.02</v>
      </c>
      <c r="Y333" s="37">
        <v>2207725.02</v>
      </c>
      <c r="Z333" s="79">
        <v>0</v>
      </c>
      <c r="AA333" s="19">
        <f t="shared" si="72"/>
        <v>4693649.6399999997</v>
      </c>
    </row>
    <row r="334" spans="1:27" s="12" customFormat="1" ht="93.75" customHeight="1" x14ac:dyDescent="0.25">
      <c r="A334" s="17">
        <f>IF(OR(D334=0,D334=""),"",COUNTA($D$306:D334))</f>
        <v>25</v>
      </c>
      <c r="B334" s="17" t="s">
        <v>661</v>
      </c>
      <c r="C334" s="93" t="s">
        <v>461</v>
      </c>
      <c r="D334" s="59">
        <v>1990</v>
      </c>
      <c r="E334" s="16">
        <v>8534.7000000000007</v>
      </c>
      <c r="F334" s="16">
        <v>5794.1</v>
      </c>
      <c r="G334" s="16">
        <v>0</v>
      </c>
      <c r="H334" s="17" t="s">
        <v>255</v>
      </c>
      <c r="I334" s="15">
        <v>3</v>
      </c>
      <c r="J334" s="16"/>
      <c r="K334" s="16"/>
      <c r="L334" s="16"/>
      <c r="M334" s="18"/>
      <c r="N334" s="16"/>
      <c r="O334" s="16">
        <f t="shared" si="70"/>
        <v>8700000</v>
      </c>
      <c r="P334" s="47"/>
      <c r="Q334" s="47"/>
      <c r="R334" s="47"/>
      <c r="S334" s="47"/>
      <c r="T334" s="16">
        <f t="shared" si="71"/>
        <v>409665.60000000003</v>
      </c>
      <c r="U334" s="16"/>
      <c r="V334" s="19">
        <f t="shared" si="69"/>
        <v>9109665.5999999996</v>
      </c>
      <c r="W334" s="20" t="s">
        <v>1174</v>
      </c>
      <c r="X334" s="37">
        <v>2207725.02</v>
      </c>
      <c r="Y334" s="37">
        <v>2207725.02</v>
      </c>
      <c r="Z334" s="79">
        <v>0</v>
      </c>
      <c r="AA334" s="19">
        <f t="shared" si="72"/>
        <v>4694215.5599999996</v>
      </c>
    </row>
    <row r="335" spans="1:27" s="12" customFormat="1" ht="93.75" customHeight="1" x14ac:dyDescent="0.25">
      <c r="A335" s="17">
        <f>IF(OR(D335=0,D335=""),"",COUNTA($D$306:D335))</f>
        <v>26</v>
      </c>
      <c r="B335" s="17" t="s">
        <v>667</v>
      </c>
      <c r="C335" s="93" t="s">
        <v>462</v>
      </c>
      <c r="D335" s="52">
        <v>1985</v>
      </c>
      <c r="E335" s="16">
        <v>19802.7</v>
      </c>
      <c r="F335" s="16">
        <v>13112.1</v>
      </c>
      <c r="G335" s="16">
        <v>255.7</v>
      </c>
      <c r="H335" s="17" t="s">
        <v>255</v>
      </c>
      <c r="I335" s="15">
        <v>7</v>
      </c>
      <c r="J335" s="16"/>
      <c r="K335" s="16"/>
      <c r="L335" s="16"/>
      <c r="M335" s="18"/>
      <c r="N335" s="16"/>
      <c r="O335" s="16">
        <f t="shared" si="70"/>
        <v>20300000</v>
      </c>
      <c r="P335" s="47"/>
      <c r="Q335" s="47"/>
      <c r="R335" s="47"/>
      <c r="S335" s="47"/>
      <c r="T335" s="16">
        <f t="shared" si="71"/>
        <v>950529.60000000009</v>
      </c>
      <c r="U335" s="16"/>
      <c r="V335" s="19">
        <f t="shared" si="69"/>
        <v>21250529.600000001</v>
      </c>
      <c r="W335" s="20" t="s">
        <v>1174</v>
      </c>
      <c r="X335" s="37">
        <v>5151358.38</v>
      </c>
      <c r="Y335" s="37">
        <v>5151358.38</v>
      </c>
      <c r="Z335" s="79">
        <v>0</v>
      </c>
      <c r="AA335" s="19">
        <f t="shared" si="72"/>
        <v>10947812.840000002</v>
      </c>
    </row>
    <row r="336" spans="1:27" s="12" customFormat="1" ht="93.75" customHeight="1" x14ac:dyDescent="0.25">
      <c r="A336" s="17">
        <f>IF(OR(D336=0,D336=""),"",COUNTA($D$306:D336))</f>
        <v>27</v>
      </c>
      <c r="B336" s="17" t="s">
        <v>671</v>
      </c>
      <c r="C336" s="93" t="s">
        <v>463</v>
      </c>
      <c r="D336" s="52">
        <v>1988</v>
      </c>
      <c r="E336" s="16">
        <v>11305.79</v>
      </c>
      <c r="F336" s="16">
        <v>7617.69</v>
      </c>
      <c r="G336" s="16">
        <v>0</v>
      </c>
      <c r="H336" s="17" t="s">
        <v>255</v>
      </c>
      <c r="I336" s="15">
        <v>4</v>
      </c>
      <c r="J336" s="16"/>
      <c r="K336" s="16"/>
      <c r="L336" s="16"/>
      <c r="M336" s="18"/>
      <c r="N336" s="16"/>
      <c r="O336" s="16">
        <f t="shared" si="70"/>
        <v>11600000</v>
      </c>
      <c r="P336" s="47"/>
      <c r="Q336" s="47"/>
      <c r="R336" s="47"/>
      <c r="S336" s="47"/>
      <c r="T336" s="16">
        <f t="shared" si="71"/>
        <v>542677.92000000004</v>
      </c>
      <c r="U336" s="16"/>
      <c r="V336" s="19">
        <f t="shared" si="69"/>
        <v>12142677.92</v>
      </c>
      <c r="W336" s="20" t="s">
        <v>1174</v>
      </c>
      <c r="X336" s="37">
        <v>2943633.36</v>
      </c>
      <c r="Y336" s="37">
        <v>2943633.36</v>
      </c>
      <c r="Z336" s="79">
        <v>0</v>
      </c>
      <c r="AA336" s="19">
        <f t="shared" si="72"/>
        <v>6255411.2000000002</v>
      </c>
    </row>
    <row r="337" spans="1:27" s="12" customFormat="1" ht="93.75" customHeight="1" x14ac:dyDescent="0.25">
      <c r="A337" s="17">
        <f>IF(OR(D337=0,D337=""),"",COUNTA($D$306:D337))</f>
        <v>28</v>
      </c>
      <c r="B337" s="17" t="s">
        <v>639</v>
      </c>
      <c r="C337" s="93" t="s">
        <v>363</v>
      </c>
      <c r="D337" s="52">
        <v>1989</v>
      </c>
      <c r="E337" s="16">
        <v>4033.3</v>
      </c>
      <c r="F337" s="16">
        <v>2715.7</v>
      </c>
      <c r="G337" s="16">
        <v>0</v>
      </c>
      <c r="H337" s="17" t="s">
        <v>255</v>
      </c>
      <c r="I337" s="15">
        <v>1</v>
      </c>
      <c r="J337" s="16"/>
      <c r="K337" s="16"/>
      <c r="L337" s="16"/>
      <c r="M337" s="18"/>
      <c r="N337" s="16"/>
      <c r="O337" s="16">
        <f t="shared" si="70"/>
        <v>2900000</v>
      </c>
      <c r="P337" s="16">
        <f>E337*814</f>
        <v>3283106.2</v>
      </c>
      <c r="Q337" s="47"/>
      <c r="R337" s="16">
        <f>E337*1548</f>
        <v>6243548.4000000004</v>
      </c>
      <c r="S337" s="47"/>
      <c r="T337" s="16">
        <f t="shared" si="71"/>
        <v>193598.40000000002</v>
      </c>
      <c r="U337" s="16"/>
      <c r="V337" s="19">
        <f t="shared" si="69"/>
        <v>12620253.000000002</v>
      </c>
      <c r="W337" s="20" t="s">
        <v>1174</v>
      </c>
      <c r="X337" s="37">
        <v>735908.34</v>
      </c>
      <c r="Y337" s="37">
        <v>735908.34</v>
      </c>
      <c r="Z337" s="79">
        <v>0</v>
      </c>
      <c r="AA337" s="19">
        <f t="shared" si="72"/>
        <v>11148436.320000002</v>
      </c>
    </row>
    <row r="338" spans="1:27" s="12" customFormat="1" ht="93.75" customHeight="1" x14ac:dyDescent="0.25">
      <c r="A338" s="17">
        <f>IF(OR(D338=0,D338=""),"",COUNTA($D$306:D338))</f>
        <v>29</v>
      </c>
      <c r="B338" s="17" t="s">
        <v>672</v>
      </c>
      <c r="C338" s="90" t="s">
        <v>466</v>
      </c>
      <c r="D338" s="43">
        <v>1988</v>
      </c>
      <c r="E338" s="15">
        <v>22314.9</v>
      </c>
      <c r="F338" s="15">
        <v>14998.2</v>
      </c>
      <c r="G338" s="15">
        <v>7067.4</v>
      </c>
      <c r="H338" s="17" t="s">
        <v>255</v>
      </c>
      <c r="I338" s="15"/>
      <c r="J338" s="16"/>
      <c r="K338" s="16"/>
      <c r="L338" s="16"/>
      <c r="M338" s="18"/>
      <c r="N338" s="16"/>
      <c r="O338" s="16"/>
      <c r="P338" s="16">
        <f>E338*814</f>
        <v>18164328.600000001</v>
      </c>
      <c r="Q338" s="16"/>
      <c r="R338" s="16"/>
      <c r="S338" s="16"/>
      <c r="T338" s="16"/>
      <c r="U338" s="16"/>
      <c r="V338" s="19">
        <f t="shared" si="69"/>
        <v>18164328.600000001</v>
      </c>
      <c r="W338" s="20" t="s">
        <v>1174</v>
      </c>
      <c r="X338" s="37">
        <v>0</v>
      </c>
      <c r="Y338" s="37">
        <v>0</v>
      </c>
      <c r="Z338" s="79">
        <v>0</v>
      </c>
      <c r="AA338" s="19">
        <f t="shared" si="72"/>
        <v>18164328.600000001</v>
      </c>
    </row>
    <row r="339" spans="1:27" s="12" customFormat="1" ht="93.75" customHeight="1" x14ac:dyDescent="0.25">
      <c r="A339" s="17">
        <f>IF(OR(D339=0,D339=""),"",COUNTA($D$306:D339))</f>
        <v>30</v>
      </c>
      <c r="B339" s="17" t="s">
        <v>624</v>
      </c>
      <c r="C339" s="90" t="s">
        <v>289</v>
      </c>
      <c r="D339" s="52">
        <v>1962</v>
      </c>
      <c r="E339" s="46">
        <v>4197.8</v>
      </c>
      <c r="F339" s="46">
        <v>2522.8000000000002</v>
      </c>
      <c r="G339" s="16">
        <v>0</v>
      </c>
      <c r="H339" s="17" t="s">
        <v>257</v>
      </c>
      <c r="I339" s="15"/>
      <c r="J339" s="16"/>
      <c r="K339" s="16"/>
      <c r="L339" s="16"/>
      <c r="M339" s="16"/>
      <c r="N339" s="16">
        <f>367*E339</f>
        <v>1540592.6</v>
      </c>
      <c r="O339" s="16"/>
      <c r="P339" s="16"/>
      <c r="Q339" s="16"/>
      <c r="R339" s="16">
        <f>E339*2694</f>
        <v>11308873.200000001</v>
      </c>
      <c r="S339" s="16"/>
      <c r="T339" s="16"/>
      <c r="U339" s="16"/>
      <c r="V339" s="19">
        <f t="shared" si="69"/>
        <v>12849465.800000001</v>
      </c>
      <c r="W339" s="20" t="s">
        <v>1174</v>
      </c>
      <c r="X339" s="37">
        <v>0</v>
      </c>
      <c r="Y339" s="37">
        <v>0</v>
      </c>
      <c r="Z339" s="79">
        <v>0</v>
      </c>
      <c r="AA339" s="19">
        <f t="shared" si="72"/>
        <v>12849465.800000001</v>
      </c>
    </row>
    <row r="340" spans="1:27" s="12" customFormat="1" ht="93.75" customHeight="1" x14ac:dyDescent="0.25">
      <c r="A340" s="17">
        <f>IF(OR(D340=0,D340=""),"",COUNTA($D$306:D340))</f>
        <v>31</v>
      </c>
      <c r="B340" s="17" t="s">
        <v>648</v>
      </c>
      <c r="C340" s="93" t="s">
        <v>290</v>
      </c>
      <c r="D340" s="52">
        <v>1969</v>
      </c>
      <c r="E340" s="46">
        <v>2686.5</v>
      </c>
      <c r="F340" s="46">
        <v>1836.5</v>
      </c>
      <c r="G340" s="47">
        <v>0</v>
      </c>
      <c r="H340" s="17" t="s">
        <v>257</v>
      </c>
      <c r="I340" s="58"/>
      <c r="J340" s="47"/>
      <c r="K340" s="47"/>
      <c r="L340" s="47"/>
      <c r="M340" s="57"/>
      <c r="N340" s="16"/>
      <c r="O340" s="47"/>
      <c r="P340" s="16">
        <f>2304*E340</f>
        <v>6189696</v>
      </c>
      <c r="Q340" s="47"/>
      <c r="R340" s="47"/>
      <c r="S340" s="47"/>
      <c r="T340" s="47"/>
      <c r="U340" s="16"/>
      <c r="V340" s="19">
        <f t="shared" si="69"/>
        <v>6189696</v>
      </c>
      <c r="W340" s="20" t="s">
        <v>1174</v>
      </c>
      <c r="X340" s="37">
        <v>0</v>
      </c>
      <c r="Y340" s="37">
        <v>0</v>
      </c>
      <c r="Z340" s="79">
        <v>0</v>
      </c>
      <c r="AA340" s="19">
        <f t="shared" si="72"/>
        <v>6189696</v>
      </c>
    </row>
    <row r="341" spans="1:27" s="13" customFormat="1" ht="93.75" customHeight="1" x14ac:dyDescent="0.25">
      <c r="A341" s="17" t="str">
        <f>IF(OR(D341=0,D341=""),"",COUNTA($D$306:D341))</f>
        <v/>
      </c>
      <c r="B341" s="17"/>
      <c r="C341" s="89"/>
      <c r="D341" s="21"/>
      <c r="E341" s="26">
        <f>SUM(E312:E340)</f>
        <v>250385.36</v>
      </c>
      <c r="F341" s="26">
        <f>SUM(F312:F340)</f>
        <v>168946.03000000003</v>
      </c>
      <c r="G341" s="26">
        <f>SUM(G312:G340)</f>
        <v>9565.1999999999989</v>
      </c>
      <c r="H341" s="17"/>
      <c r="I341" s="15"/>
      <c r="J341" s="26"/>
      <c r="K341" s="26"/>
      <c r="L341" s="26"/>
      <c r="M341" s="29"/>
      <c r="N341" s="26"/>
      <c r="O341" s="26"/>
      <c r="P341" s="26"/>
      <c r="Q341" s="26"/>
      <c r="R341" s="26"/>
      <c r="S341" s="26"/>
      <c r="T341" s="26"/>
      <c r="U341" s="17"/>
      <c r="V341" s="26">
        <f>SUM(V312:V340)</f>
        <v>278002281.88</v>
      </c>
      <c r="W341" s="26"/>
      <c r="X341" s="26">
        <f>SUM(X312:X340)</f>
        <v>48583282.260000013</v>
      </c>
      <c r="Y341" s="26">
        <f>SUM(Y312:Y340)</f>
        <v>49467267.050000012</v>
      </c>
      <c r="Z341" s="79"/>
      <c r="AA341" s="28">
        <f t="shared" si="72"/>
        <v>179951732.56999996</v>
      </c>
    </row>
    <row r="342" spans="1:27" s="12" customFormat="1" ht="93.75" customHeight="1" x14ac:dyDescent="0.25">
      <c r="A342" s="17" t="str">
        <f>IF(OR(D342=0,D342=""),"",COUNTA($D$306:D342))</f>
        <v/>
      </c>
      <c r="B342" s="17"/>
      <c r="C342" s="89" t="s">
        <v>1188</v>
      </c>
      <c r="D342" s="43"/>
      <c r="E342" s="16"/>
      <c r="F342" s="16"/>
      <c r="G342" s="16"/>
      <c r="H342" s="17"/>
      <c r="I342" s="15"/>
      <c r="J342" s="16"/>
      <c r="K342" s="16"/>
      <c r="L342" s="16"/>
      <c r="M342" s="18"/>
      <c r="N342" s="16"/>
      <c r="O342" s="16"/>
      <c r="P342" s="16"/>
      <c r="Q342" s="16"/>
      <c r="R342" s="16"/>
      <c r="S342" s="16"/>
      <c r="T342" s="16"/>
      <c r="U342" s="15"/>
      <c r="V342" s="19"/>
      <c r="W342" s="20"/>
      <c r="X342" s="37"/>
      <c r="Y342" s="37"/>
      <c r="Z342" s="20"/>
      <c r="AA342" s="19"/>
    </row>
    <row r="343" spans="1:27" s="12" customFormat="1" ht="93.75" customHeight="1" x14ac:dyDescent="0.25">
      <c r="A343" s="17">
        <f>IF(OR(D343=0,D343=""),"",COUNTA($D$306:D343))</f>
        <v>32</v>
      </c>
      <c r="B343" s="17" t="s">
        <v>699</v>
      </c>
      <c r="C343" s="90" t="s">
        <v>440</v>
      </c>
      <c r="D343" s="52">
        <v>2014</v>
      </c>
      <c r="E343" s="46">
        <v>2317.2159999999999</v>
      </c>
      <c r="F343" s="46">
        <v>1175.7</v>
      </c>
      <c r="G343" s="16">
        <v>155.6</v>
      </c>
      <c r="H343" s="17" t="s">
        <v>254</v>
      </c>
      <c r="I343" s="15"/>
      <c r="J343" s="16"/>
      <c r="K343" s="16"/>
      <c r="L343" s="16"/>
      <c r="M343" s="16"/>
      <c r="N343" s="16"/>
      <c r="O343" s="16"/>
      <c r="P343" s="16">
        <f>E343*3823</f>
        <v>8858716.7679999992</v>
      </c>
      <c r="Q343" s="16"/>
      <c r="R343" s="16"/>
      <c r="S343" s="16"/>
      <c r="T343" s="16"/>
      <c r="U343" s="15"/>
      <c r="V343" s="19">
        <f t="shared" ref="V343:V345" si="73">J343+K343+L343+M343+N343+O343+P343+Q343+R343+S343+T343+U343</f>
        <v>8858716.7679999992</v>
      </c>
      <c r="W343" s="20" t="s">
        <v>1174</v>
      </c>
      <c r="X343" s="37">
        <v>0</v>
      </c>
      <c r="Y343" s="37">
        <v>0</v>
      </c>
      <c r="Z343" s="79">
        <v>0</v>
      </c>
      <c r="AA343" s="19">
        <f t="shared" ref="AA343:AA346" si="74">V343-(X343+Y343+Z343)</f>
        <v>8858716.7679999992</v>
      </c>
    </row>
    <row r="344" spans="1:27" s="12" customFormat="1" ht="93.75" customHeight="1" x14ac:dyDescent="0.25">
      <c r="A344" s="17">
        <f>IF(OR(D344=0,D344=""),"",COUNTA($D$306:D344))</f>
        <v>33</v>
      </c>
      <c r="B344" s="17" t="s">
        <v>690</v>
      </c>
      <c r="C344" s="90" t="s">
        <v>32</v>
      </c>
      <c r="D344" s="43">
        <v>1965</v>
      </c>
      <c r="E344" s="16">
        <v>639.79999999999995</v>
      </c>
      <c r="F344" s="16">
        <v>593.79999999999995</v>
      </c>
      <c r="G344" s="16">
        <v>46</v>
      </c>
      <c r="H344" s="17" t="s">
        <v>250</v>
      </c>
      <c r="I344" s="15"/>
      <c r="J344" s="16"/>
      <c r="K344" s="16"/>
      <c r="L344" s="16"/>
      <c r="M344" s="16"/>
      <c r="N344" s="16"/>
      <c r="O344" s="16"/>
      <c r="P344" s="16">
        <f>E344*3823</f>
        <v>2445955.4</v>
      </c>
      <c r="Q344" s="16"/>
      <c r="R344" s="16"/>
      <c r="S344" s="16"/>
      <c r="T344" s="16"/>
      <c r="U344" s="16"/>
      <c r="V344" s="19">
        <f t="shared" si="73"/>
        <v>2445955.4</v>
      </c>
      <c r="W344" s="20" t="s">
        <v>1174</v>
      </c>
      <c r="X344" s="37">
        <v>0</v>
      </c>
      <c r="Y344" s="37">
        <v>0</v>
      </c>
      <c r="Z344" s="79">
        <v>0</v>
      </c>
      <c r="AA344" s="19">
        <f t="shared" si="74"/>
        <v>2445955.4</v>
      </c>
    </row>
    <row r="345" spans="1:27" s="12" customFormat="1" ht="93.75" customHeight="1" x14ac:dyDescent="0.25">
      <c r="A345" s="17">
        <f>IF(OR(D345=0,D345=""),"",COUNTA($D$306:D345))</f>
        <v>34</v>
      </c>
      <c r="B345" s="17" t="s">
        <v>691</v>
      </c>
      <c r="C345" s="90" t="s">
        <v>33</v>
      </c>
      <c r="D345" s="43">
        <v>1965</v>
      </c>
      <c r="E345" s="16">
        <v>642.29999999999995</v>
      </c>
      <c r="F345" s="16">
        <v>601.9</v>
      </c>
      <c r="G345" s="16">
        <v>40.4</v>
      </c>
      <c r="H345" s="17" t="s">
        <v>250</v>
      </c>
      <c r="I345" s="15"/>
      <c r="J345" s="16"/>
      <c r="K345" s="16"/>
      <c r="L345" s="16"/>
      <c r="M345" s="16"/>
      <c r="N345" s="16"/>
      <c r="O345" s="16"/>
      <c r="P345" s="16">
        <f>E345*3823</f>
        <v>2455512.9</v>
      </c>
      <c r="Q345" s="16"/>
      <c r="R345" s="16"/>
      <c r="S345" s="16"/>
      <c r="T345" s="16"/>
      <c r="U345" s="16"/>
      <c r="V345" s="19">
        <f t="shared" si="73"/>
        <v>2455512.9</v>
      </c>
      <c r="W345" s="20" t="s">
        <v>1174</v>
      </c>
      <c r="X345" s="37">
        <v>0</v>
      </c>
      <c r="Y345" s="37">
        <v>0</v>
      </c>
      <c r="Z345" s="79">
        <v>0</v>
      </c>
      <c r="AA345" s="19">
        <f t="shared" si="74"/>
        <v>2455512.9</v>
      </c>
    </row>
    <row r="346" spans="1:27" s="13" customFormat="1" ht="93.75" customHeight="1" x14ac:dyDescent="0.25">
      <c r="A346" s="17" t="str">
        <f>IF(OR(D346=0,D346=""),"",COUNTA($D$306:D346))</f>
        <v/>
      </c>
      <c r="B346" s="17"/>
      <c r="C346" s="89"/>
      <c r="D346" s="21"/>
      <c r="E346" s="22">
        <f>SUM(E343:E345)</f>
        <v>3599.3159999999998</v>
      </c>
      <c r="F346" s="22">
        <f>SUM(F343:F345)</f>
        <v>2371.4</v>
      </c>
      <c r="G346" s="22">
        <f>SUM(G343:G345)</f>
        <v>242</v>
      </c>
      <c r="H346" s="17"/>
      <c r="I346" s="15"/>
      <c r="J346" s="26"/>
      <c r="K346" s="26"/>
      <c r="L346" s="26"/>
      <c r="M346" s="29"/>
      <c r="N346" s="26"/>
      <c r="O346" s="26"/>
      <c r="P346" s="26"/>
      <c r="Q346" s="26"/>
      <c r="R346" s="26"/>
      <c r="S346" s="26"/>
      <c r="T346" s="26"/>
      <c r="U346" s="17"/>
      <c r="V346" s="28">
        <f>SUM(V343:V345)</f>
        <v>13760185.068</v>
      </c>
      <c r="W346" s="28"/>
      <c r="X346" s="28">
        <f>SUM(X343:X345)</f>
        <v>0</v>
      </c>
      <c r="Y346" s="28">
        <f>SUM(Y343:Y345)</f>
        <v>0</v>
      </c>
      <c r="Z346" s="81">
        <f>SUM(Z343:Z345)</f>
        <v>0</v>
      </c>
      <c r="AA346" s="28">
        <f t="shared" si="74"/>
        <v>13760185.068</v>
      </c>
    </row>
    <row r="347" spans="1:27" s="12" customFormat="1" ht="93.75" customHeight="1" x14ac:dyDescent="0.25">
      <c r="A347" s="17" t="str">
        <f>IF(OR(D347=0,D347=""),"",COUNTA($D$306:D347))</f>
        <v/>
      </c>
      <c r="B347" s="17"/>
      <c r="C347" s="89" t="s">
        <v>1214</v>
      </c>
      <c r="D347" s="43"/>
      <c r="E347" s="16"/>
      <c r="F347" s="16"/>
      <c r="G347" s="16"/>
      <c r="H347" s="17"/>
      <c r="I347" s="15"/>
      <c r="J347" s="16"/>
      <c r="K347" s="16"/>
      <c r="L347" s="16"/>
      <c r="M347" s="18"/>
      <c r="N347" s="16"/>
      <c r="O347" s="16"/>
      <c r="P347" s="16"/>
      <c r="Q347" s="16"/>
      <c r="R347" s="16"/>
      <c r="S347" s="16"/>
      <c r="T347" s="16"/>
      <c r="U347" s="15"/>
      <c r="V347" s="19"/>
      <c r="W347" s="20"/>
      <c r="X347" s="37"/>
      <c r="Y347" s="37"/>
      <c r="Z347" s="20"/>
      <c r="AA347" s="19"/>
    </row>
    <row r="348" spans="1:27" s="12" customFormat="1" ht="93.75" customHeight="1" x14ac:dyDescent="0.25">
      <c r="A348" s="17">
        <f>IF(OR(D348=0,D348=""),"",COUNTA($D$306:D348))</f>
        <v>35</v>
      </c>
      <c r="B348" s="17" t="s">
        <v>848</v>
      </c>
      <c r="C348" s="90" t="s">
        <v>129</v>
      </c>
      <c r="D348" s="43">
        <v>1966</v>
      </c>
      <c r="E348" s="16">
        <v>3302.2</v>
      </c>
      <c r="F348" s="16">
        <v>2572.1999999999998</v>
      </c>
      <c r="G348" s="16">
        <v>730</v>
      </c>
      <c r="H348" s="17" t="s">
        <v>257</v>
      </c>
      <c r="I348" s="15"/>
      <c r="J348" s="16"/>
      <c r="K348" s="16">
        <f>1145*E348</f>
        <v>3781019</v>
      </c>
      <c r="L348" s="16"/>
      <c r="M348" s="16">
        <f>826*E348</f>
        <v>2727617.1999999997</v>
      </c>
      <c r="N348" s="16">
        <f>367*E348</f>
        <v>1211907.3999999999</v>
      </c>
      <c r="O348" s="16"/>
      <c r="P348" s="16"/>
      <c r="Q348" s="16">
        <f>E348*289</f>
        <v>954335.79999999993</v>
      </c>
      <c r="R348" s="16">
        <f>E348*2694</f>
        <v>8896126.7999999989</v>
      </c>
      <c r="S348" s="16">
        <f>102*E348</f>
        <v>336824.39999999997</v>
      </c>
      <c r="T348" s="16"/>
      <c r="U348" s="15"/>
      <c r="V348" s="19">
        <f t="shared" ref="V348" si="75">J348+K348+L348+M348+N348+O348+P348+Q348+R348+S348+T348+U348</f>
        <v>17907830.599999998</v>
      </c>
      <c r="W348" s="20" t="s">
        <v>1174</v>
      </c>
      <c r="X348" s="37">
        <v>0</v>
      </c>
      <c r="Y348" s="37">
        <v>0</v>
      </c>
      <c r="Z348" s="79">
        <v>0</v>
      </c>
      <c r="AA348" s="19">
        <f t="shared" ref="AA348:AA365" si="76">V348-(X348+Y348+Z348)</f>
        <v>17907830.599999998</v>
      </c>
    </row>
    <row r="349" spans="1:27" s="12" customFormat="1" ht="93.75" customHeight="1" x14ac:dyDescent="0.25">
      <c r="A349" s="17">
        <f>IF(OR(D349=0,D349=""),"",COUNTA($D$306:D349))</f>
        <v>36</v>
      </c>
      <c r="B349" s="17" t="s">
        <v>1012</v>
      </c>
      <c r="C349" s="90" t="s">
        <v>500</v>
      </c>
      <c r="D349" s="43">
        <v>1976</v>
      </c>
      <c r="E349" s="16">
        <v>3411.2</v>
      </c>
      <c r="F349" s="16">
        <v>3360</v>
      </c>
      <c r="G349" s="16">
        <v>991</v>
      </c>
      <c r="H349" s="17" t="s">
        <v>257</v>
      </c>
      <c r="I349" s="15"/>
      <c r="J349" s="16"/>
      <c r="K349" s="16"/>
      <c r="L349" s="16"/>
      <c r="M349" s="16"/>
      <c r="N349" s="16"/>
      <c r="O349" s="16"/>
      <c r="P349" s="16">
        <f>2304*E349</f>
        <v>7859404.7999999998</v>
      </c>
      <c r="Q349" s="16"/>
      <c r="R349" s="16"/>
      <c r="S349" s="16"/>
      <c r="T349" s="16"/>
      <c r="U349" s="15"/>
      <c r="V349" s="19">
        <f t="shared" ref="V349:V359" si="77">J349+K349+L349+M349+N349+O349+P349+Q349+R349+S349+T349+U349</f>
        <v>7859404.7999999998</v>
      </c>
      <c r="W349" s="20" t="s">
        <v>1174</v>
      </c>
      <c r="X349" s="37">
        <v>0</v>
      </c>
      <c r="Y349" s="37">
        <v>0</v>
      </c>
      <c r="Z349" s="79">
        <v>0</v>
      </c>
      <c r="AA349" s="19">
        <f t="shared" si="76"/>
        <v>7859404.7999999998</v>
      </c>
    </row>
    <row r="350" spans="1:27" s="12" customFormat="1" ht="93.75" customHeight="1" x14ac:dyDescent="0.25">
      <c r="A350" s="17">
        <f>IF(OR(D350=0,D350=""),"",COUNTA($D$306:D350))</f>
        <v>37</v>
      </c>
      <c r="B350" s="17" t="s">
        <v>798</v>
      </c>
      <c r="C350" s="90" t="s">
        <v>404</v>
      </c>
      <c r="D350" s="43">
        <v>1978</v>
      </c>
      <c r="E350" s="16">
        <v>3640.1</v>
      </c>
      <c r="F350" s="16">
        <v>2782.3</v>
      </c>
      <c r="G350" s="16">
        <v>0</v>
      </c>
      <c r="H350" s="17" t="s">
        <v>257</v>
      </c>
      <c r="I350" s="15"/>
      <c r="J350" s="16"/>
      <c r="K350" s="16"/>
      <c r="L350" s="16"/>
      <c r="M350" s="18"/>
      <c r="N350" s="16"/>
      <c r="O350" s="16"/>
      <c r="P350" s="16"/>
      <c r="Q350" s="16"/>
      <c r="R350" s="16">
        <v>9806429.4000000004</v>
      </c>
      <c r="S350" s="16"/>
      <c r="T350" s="16"/>
      <c r="U350" s="15"/>
      <c r="V350" s="19">
        <f t="shared" si="77"/>
        <v>9806429.4000000004</v>
      </c>
      <c r="W350" s="20" t="s">
        <v>1174</v>
      </c>
      <c r="X350" s="37">
        <v>0</v>
      </c>
      <c r="Y350" s="37">
        <v>0</v>
      </c>
      <c r="Z350" s="79">
        <v>0</v>
      </c>
      <c r="AA350" s="19">
        <f t="shared" si="76"/>
        <v>9806429.4000000004</v>
      </c>
    </row>
    <row r="351" spans="1:27" s="12" customFormat="1" ht="93.75" customHeight="1" x14ac:dyDescent="0.25">
      <c r="A351" s="17">
        <f>IF(OR(D351=0,D351=""),"",COUNTA($D$306:D351))</f>
        <v>38</v>
      </c>
      <c r="B351" s="17" t="s">
        <v>824</v>
      </c>
      <c r="C351" s="90" t="s">
        <v>368</v>
      </c>
      <c r="D351" s="43">
        <v>1969</v>
      </c>
      <c r="E351" s="16">
        <v>5794.9</v>
      </c>
      <c r="F351" s="16">
        <v>4359.3</v>
      </c>
      <c r="G351" s="16">
        <v>87.4</v>
      </c>
      <c r="H351" s="17" t="s">
        <v>257</v>
      </c>
      <c r="I351" s="15"/>
      <c r="J351" s="16">
        <f>390*E351</f>
        <v>2260011</v>
      </c>
      <c r="K351" s="16"/>
      <c r="L351" s="16"/>
      <c r="M351" s="18"/>
      <c r="N351" s="16"/>
      <c r="O351" s="16"/>
      <c r="P351" s="16">
        <f t="shared" ref="P351:P360" si="78">2304*E351</f>
        <v>13351449.6</v>
      </c>
      <c r="Q351" s="16"/>
      <c r="R351" s="16"/>
      <c r="S351" s="16"/>
      <c r="T351" s="16"/>
      <c r="U351" s="15"/>
      <c r="V351" s="19">
        <f t="shared" si="77"/>
        <v>15611460.6</v>
      </c>
      <c r="W351" s="20" t="s">
        <v>1174</v>
      </c>
      <c r="X351" s="37">
        <v>0</v>
      </c>
      <c r="Y351" s="37">
        <v>0</v>
      </c>
      <c r="Z351" s="79">
        <v>0</v>
      </c>
      <c r="AA351" s="19">
        <f t="shared" si="76"/>
        <v>15611460.6</v>
      </c>
    </row>
    <row r="352" spans="1:27" s="12" customFormat="1" ht="93.75" customHeight="1" x14ac:dyDescent="0.25">
      <c r="A352" s="17">
        <f>IF(OR(D352=0,D352=""),"",COUNTA($D$306:D352))</f>
        <v>39</v>
      </c>
      <c r="B352" s="17" t="s">
        <v>747</v>
      </c>
      <c r="C352" s="90" t="s">
        <v>599</v>
      </c>
      <c r="D352" s="43">
        <v>1980</v>
      </c>
      <c r="E352" s="16">
        <v>3688.4</v>
      </c>
      <c r="F352" s="16">
        <v>2778.2</v>
      </c>
      <c r="G352" s="16">
        <v>56.2</v>
      </c>
      <c r="H352" s="17" t="s">
        <v>257</v>
      </c>
      <c r="I352" s="15"/>
      <c r="J352" s="16">
        <f>390*E352</f>
        <v>1438476</v>
      </c>
      <c r="K352" s="16"/>
      <c r="L352" s="16"/>
      <c r="M352" s="16"/>
      <c r="N352" s="16"/>
      <c r="O352" s="16"/>
      <c r="P352" s="16">
        <f t="shared" si="78"/>
        <v>8498073.5999999996</v>
      </c>
      <c r="Q352" s="16"/>
      <c r="R352" s="16"/>
      <c r="S352" s="16"/>
      <c r="T352" s="16"/>
      <c r="U352" s="15"/>
      <c r="V352" s="19">
        <f t="shared" si="77"/>
        <v>9936549.5999999996</v>
      </c>
      <c r="W352" s="20" t="s">
        <v>1174</v>
      </c>
      <c r="X352" s="37">
        <v>0</v>
      </c>
      <c r="Y352" s="37">
        <v>0</v>
      </c>
      <c r="Z352" s="79">
        <v>0</v>
      </c>
      <c r="AA352" s="19">
        <f t="shared" si="76"/>
        <v>9936549.5999999996</v>
      </c>
    </row>
    <row r="353" spans="1:27" s="12" customFormat="1" ht="93.75" customHeight="1" x14ac:dyDescent="0.25">
      <c r="A353" s="17">
        <f>IF(OR(D353=0,D353=""),"",COUNTA($D$306:D353))</f>
        <v>40</v>
      </c>
      <c r="B353" s="17" t="s">
        <v>970</v>
      </c>
      <c r="C353" s="90" t="s">
        <v>492</v>
      </c>
      <c r="D353" s="43">
        <v>1972</v>
      </c>
      <c r="E353" s="16">
        <v>5809.8</v>
      </c>
      <c r="F353" s="16">
        <v>4378.5</v>
      </c>
      <c r="G353" s="16">
        <v>0</v>
      </c>
      <c r="H353" s="17" t="s">
        <v>257</v>
      </c>
      <c r="I353" s="15"/>
      <c r="J353" s="16"/>
      <c r="K353" s="16"/>
      <c r="L353" s="16"/>
      <c r="M353" s="18"/>
      <c r="N353" s="16"/>
      <c r="O353" s="16"/>
      <c r="P353" s="16">
        <f t="shared" si="78"/>
        <v>13385779.200000001</v>
      </c>
      <c r="Q353" s="16"/>
      <c r="R353" s="16"/>
      <c r="S353" s="16"/>
      <c r="T353" s="16"/>
      <c r="U353" s="15"/>
      <c r="V353" s="19">
        <f t="shared" si="77"/>
        <v>13385779.200000001</v>
      </c>
      <c r="W353" s="20" t="s">
        <v>1174</v>
      </c>
      <c r="X353" s="37">
        <v>0</v>
      </c>
      <c r="Y353" s="37">
        <v>0</v>
      </c>
      <c r="Z353" s="79">
        <v>0</v>
      </c>
      <c r="AA353" s="19">
        <f t="shared" si="76"/>
        <v>13385779.200000001</v>
      </c>
    </row>
    <row r="354" spans="1:27" s="12" customFormat="1" ht="93.75" customHeight="1" x14ac:dyDescent="0.25">
      <c r="A354" s="17">
        <f>IF(OR(D354=0,D354=""),"",COUNTA($D$306:D354))</f>
        <v>41</v>
      </c>
      <c r="B354" s="17" t="s">
        <v>973</v>
      </c>
      <c r="C354" s="90" t="s">
        <v>493</v>
      </c>
      <c r="D354" s="43">
        <v>1977</v>
      </c>
      <c r="E354" s="16">
        <v>3606.4</v>
      </c>
      <c r="F354" s="16">
        <v>2710.4</v>
      </c>
      <c r="G354" s="16">
        <v>0</v>
      </c>
      <c r="H354" s="17" t="s">
        <v>257</v>
      </c>
      <c r="I354" s="15"/>
      <c r="J354" s="16"/>
      <c r="K354" s="16"/>
      <c r="L354" s="16"/>
      <c r="M354" s="18"/>
      <c r="N354" s="16"/>
      <c r="O354" s="16"/>
      <c r="P354" s="16">
        <f t="shared" si="78"/>
        <v>8309145.6000000006</v>
      </c>
      <c r="Q354" s="16"/>
      <c r="R354" s="16"/>
      <c r="S354" s="16"/>
      <c r="T354" s="16"/>
      <c r="U354" s="15"/>
      <c r="V354" s="19">
        <f t="shared" si="77"/>
        <v>8309145.6000000006</v>
      </c>
      <c r="W354" s="20" t="s">
        <v>1174</v>
      </c>
      <c r="X354" s="37">
        <v>0</v>
      </c>
      <c r="Y354" s="37">
        <v>0</v>
      </c>
      <c r="Z354" s="79">
        <v>0</v>
      </c>
      <c r="AA354" s="19">
        <f t="shared" si="76"/>
        <v>8309145.6000000006</v>
      </c>
    </row>
    <row r="355" spans="1:27" s="12" customFormat="1" ht="93.75" customHeight="1" x14ac:dyDescent="0.25">
      <c r="A355" s="17">
        <f>IF(OR(D355=0,D355=""),"",COUNTA($D$306:D355))</f>
        <v>42</v>
      </c>
      <c r="B355" s="17" t="s">
        <v>1163</v>
      </c>
      <c r="C355" s="90" t="s">
        <v>494</v>
      </c>
      <c r="D355" s="43">
        <v>1975</v>
      </c>
      <c r="E355" s="16">
        <v>7585.4</v>
      </c>
      <c r="F355" s="16">
        <v>5736.9</v>
      </c>
      <c r="G355" s="16">
        <v>0</v>
      </c>
      <c r="H355" s="17" t="s">
        <v>257</v>
      </c>
      <c r="I355" s="15"/>
      <c r="J355" s="16"/>
      <c r="K355" s="16"/>
      <c r="L355" s="16"/>
      <c r="M355" s="18"/>
      <c r="N355" s="16"/>
      <c r="O355" s="16"/>
      <c r="P355" s="16">
        <f t="shared" si="78"/>
        <v>17476761.599999998</v>
      </c>
      <c r="Q355" s="16"/>
      <c r="R355" s="16"/>
      <c r="S355" s="16"/>
      <c r="T355" s="16"/>
      <c r="U355" s="15"/>
      <c r="V355" s="19">
        <f t="shared" si="77"/>
        <v>17476761.599999998</v>
      </c>
      <c r="W355" s="20" t="s">
        <v>1174</v>
      </c>
      <c r="X355" s="37">
        <v>0</v>
      </c>
      <c r="Y355" s="37">
        <v>0</v>
      </c>
      <c r="Z355" s="79">
        <v>0</v>
      </c>
      <c r="AA355" s="19">
        <f t="shared" si="76"/>
        <v>17476761.599999998</v>
      </c>
    </row>
    <row r="356" spans="1:27" s="12" customFormat="1" ht="93.75" customHeight="1" x14ac:dyDescent="0.25">
      <c r="A356" s="17">
        <f>IF(OR(D356=0,D356=""),"",COUNTA($D$306:D356))</f>
        <v>43</v>
      </c>
      <c r="B356" s="17" t="s">
        <v>1164</v>
      </c>
      <c r="C356" s="90" t="s">
        <v>495</v>
      </c>
      <c r="D356" s="43">
        <v>1974</v>
      </c>
      <c r="E356" s="16">
        <v>7534.6</v>
      </c>
      <c r="F356" s="16">
        <v>5708.7</v>
      </c>
      <c r="G356" s="16">
        <v>0</v>
      </c>
      <c r="H356" s="17" t="s">
        <v>257</v>
      </c>
      <c r="I356" s="15"/>
      <c r="J356" s="16"/>
      <c r="K356" s="16"/>
      <c r="L356" s="16"/>
      <c r="M356" s="18"/>
      <c r="N356" s="16"/>
      <c r="O356" s="16"/>
      <c r="P356" s="16">
        <f t="shared" si="78"/>
        <v>17359718.400000002</v>
      </c>
      <c r="Q356" s="16"/>
      <c r="R356" s="16"/>
      <c r="S356" s="16"/>
      <c r="T356" s="16"/>
      <c r="U356" s="15"/>
      <c r="V356" s="19">
        <f t="shared" si="77"/>
        <v>17359718.400000002</v>
      </c>
      <c r="W356" s="20" t="s">
        <v>1174</v>
      </c>
      <c r="X356" s="37">
        <v>0</v>
      </c>
      <c r="Y356" s="37">
        <v>0</v>
      </c>
      <c r="Z356" s="79">
        <v>0</v>
      </c>
      <c r="AA356" s="19">
        <f t="shared" si="76"/>
        <v>17359718.400000002</v>
      </c>
    </row>
    <row r="357" spans="1:27" s="12" customFormat="1" ht="93.75" customHeight="1" x14ac:dyDescent="0.25">
      <c r="A357" s="17">
        <f>IF(OR(D357=0,D357=""),"",COUNTA($D$306:D357))</f>
        <v>44</v>
      </c>
      <c r="B357" s="17" t="s">
        <v>897</v>
      </c>
      <c r="C357" s="90" t="s">
        <v>491</v>
      </c>
      <c r="D357" s="43">
        <v>1971</v>
      </c>
      <c r="E357" s="16">
        <v>5839</v>
      </c>
      <c r="F357" s="16">
        <v>4473.8999999999996</v>
      </c>
      <c r="G357" s="16">
        <v>1365.1</v>
      </c>
      <c r="H357" s="17" t="s">
        <v>257</v>
      </c>
      <c r="I357" s="15"/>
      <c r="J357" s="16"/>
      <c r="K357" s="16"/>
      <c r="L357" s="16"/>
      <c r="M357" s="18"/>
      <c r="N357" s="16"/>
      <c r="O357" s="16"/>
      <c r="P357" s="16">
        <f t="shared" si="78"/>
        <v>13453056</v>
      </c>
      <c r="Q357" s="16"/>
      <c r="R357" s="16"/>
      <c r="S357" s="16"/>
      <c r="T357" s="16"/>
      <c r="U357" s="15"/>
      <c r="V357" s="19">
        <f t="shared" si="77"/>
        <v>13453056</v>
      </c>
      <c r="W357" s="20" t="s">
        <v>1174</v>
      </c>
      <c r="X357" s="37">
        <v>0</v>
      </c>
      <c r="Y357" s="37">
        <v>0</v>
      </c>
      <c r="Z357" s="79">
        <v>0</v>
      </c>
      <c r="AA357" s="19">
        <f t="shared" si="76"/>
        <v>13453056</v>
      </c>
    </row>
    <row r="358" spans="1:27" s="12" customFormat="1" ht="93.75" customHeight="1" x14ac:dyDescent="0.25">
      <c r="A358" s="17">
        <f>IF(OR(D358=0,D358=""),"",COUNTA($D$306:D358))</f>
        <v>45</v>
      </c>
      <c r="B358" s="17" t="s">
        <v>943</v>
      </c>
      <c r="C358" s="90" t="s">
        <v>485</v>
      </c>
      <c r="D358" s="43">
        <v>1938</v>
      </c>
      <c r="E358" s="16">
        <v>2125.6999999999998</v>
      </c>
      <c r="F358" s="16">
        <v>1400</v>
      </c>
      <c r="G358" s="16">
        <v>233.7</v>
      </c>
      <c r="H358" s="17" t="s">
        <v>256</v>
      </c>
      <c r="I358" s="15"/>
      <c r="J358" s="16"/>
      <c r="K358" s="16"/>
      <c r="L358" s="16"/>
      <c r="M358" s="16"/>
      <c r="N358" s="16"/>
      <c r="O358" s="16"/>
      <c r="P358" s="16">
        <f t="shared" si="78"/>
        <v>4897612.8</v>
      </c>
      <c r="Q358" s="16"/>
      <c r="R358" s="16">
        <f>E358*2694</f>
        <v>5726635.7999999998</v>
      </c>
      <c r="S358" s="16"/>
      <c r="T358" s="16"/>
      <c r="U358" s="15"/>
      <c r="V358" s="19">
        <f t="shared" si="77"/>
        <v>10624248.6</v>
      </c>
      <c r="W358" s="20" t="s">
        <v>1174</v>
      </c>
      <c r="X358" s="37">
        <v>0</v>
      </c>
      <c r="Y358" s="37">
        <v>0</v>
      </c>
      <c r="Z358" s="79">
        <v>0</v>
      </c>
      <c r="AA358" s="19">
        <f t="shared" si="76"/>
        <v>10624248.6</v>
      </c>
    </row>
    <row r="359" spans="1:27" s="12" customFormat="1" ht="93.75" customHeight="1" x14ac:dyDescent="0.25">
      <c r="A359" s="17">
        <f>IF(OR(D359=0,D359=""),"",COUNTA($D$306:D359))</f>
        <v>46</v>
      </c>
      <c r="B359" s="17" t="s">
        <v>886</v>
      </c>
      <c r="C359" s="90" t="s">
        <v>478</v>
      </c>
      <c r="D359" s="43">
        <v>1979</v>
      </c>
      <c r="E359" s="16">
        <v>7033.1</v>
      </c>
      <c r="F359" s="16">
        <v>4942.2</v>
      </c>
      <c r="G359" s="16">
        <v>399.2</v>
      </c>
      <c r="H359" s="17" t="s">
        <v>257</v>
      </c>
      <c r="I359" s="15"/>
      <c r="J359" s="16"/>
      <c r="K359" s="16"/>
      <c r="L359" s="16"/>
      <c r="M359" s="18"/>
      <c r="N359" s="16"/>
      <c r="O359" s="16"/>
      <c r="P359" s="16">
        <f t="shared" si="78"/>
        <v>16204262.4</v>
      </c>
      <c r="Q359" s="16"/>
      <c r="R359" s="16"/>
      <c r="S359" s="16"/>
      <c r="T359" s="16"/>
      <c r="U359" s="15"/>
      <c r="V359" s="19">
        <f t="shared" si="77"/>
        <v>16204262.4</v>
      </c>
      <c r="W359" s="20" t="s">
        <v>1174</v>
      </c>
      <c r="X359" s="37">
        <v>0</v>
      </c>
      <c r="Y359" s="37">
        <v>0</v>
      </c>
      <c r="Z359" s="79">
        <v>0</v>
      </c>
      <c r="AA359" s="19">
        <f t="shared" si="76"/>
        <v>16204262.4</v>
      </c>
    </row>
    <row r="360" spans="1:27" s="12" customFormat="1" ht="93.75" customHeight="1" x14ac:dyDescent="0.25">
      <c r="A360" s="17">
        <f>IF(OR(D360=0,D360=""),"",COUNTA($D$306:D360))</f>
        <v>47</v>
      </c>
      <c r="B360" s="17" t="s">
        <v>757</v>
      </c>
      <c r="C360" s="90" t="s">
        <v>369</v>
      </c>
      <c r="D360" s="43">
        <v>1972</v>
      </c>
      <c r="E360" s="16">
        <v>8026.8</v>
      </c>
      <c r="F360" s="16">
        <v>5879.5</v>
      </c>
      <c r="G360" s="16">
        <v>108.6</v>
      </c>
      <c r="H360" s="17" t="s">
        <v>257</v>
      </c>
      <c r="I360" s="15"/>
      <c r="J360" s="16"/>
      <c r="K360" s="16"/>
      <c r="L360" s="16"/>
      <c r="M360" s="18"/>
      <c r="N360" s="16"/>
      <c r="O360" s="16"/>
      <c r="P360" s="16">
        <f t="shared" si="78"/>
        <v>18493747.199999999</v>
      </c>
      <c r="Q360" s="16"/>
      <c r="R360" s="16">
        <f>E360*2694</f>
        <v>21624199.199999999</v>
      </c>
      <c r="S360" s="16"/>
      <c r="T360" s="16"/>
      <c r="U360" s="15"/>
      <c r="V360" s="19">
        <f t="shared" ref="V360:V413" si="79">J360+K360+L360+M360+N360+O360+P360+Q360+R360+S360+T360+U360</f>
        <v>40117946.399999999</v>
      </c>
      <c r="W360" s="20" t="s">
        <v>1174</v>
      </c>
      <c r="X360" s="37">
        <v>0</v>
      </c>
      <c r="Y360" s="37">
        <v>0</v>
      </c>
      <c r="Z360" s="79">
        <v>0</v>
      </c>
      <c r="AA360" s="19">
        <f t="shared" si="76"/>
        <v>40117946.399999999</v>
      </c>
    </row>
    <row r="361" spans="1:27" s="12" customFormat="1" ht="93.75" customHeight="1" x14ac:dyDescent="0.25">
      <c r="A361" s="17">
        <f>IF(OR(D361=0,D361=""),"",COUNTA($D$306:D361))</f>
        <v>48</v>
      </c>
      <c r="B361" s="17" t="s">
        <v>792</v>
      </c>
      <c r="C361" s="90" t="s">
        <v>91</v>
      </c>
      <c r="D361" s="43">
        <v>1966</v>
      </c>
      <c r="E361" s="16">
        <v>4254.3999999999996</v>
      </c>
      <c r="F361" s="16">
        <v>2488.9</v>
      </c>
      <c r="G361" s="16">
        <v>543.5</v>
      </c>
      <c r="H361" s="17" t="s">
        <v>257</v>
      </c>
      <c r="I361" s="15"/>
      <c r="J361" s="16">
        <f>390*E361</f>
        <v>1659215.9999999998</v>
      </c>
      <c r="K361" s="16">
        <f>1145*E361</f>
        <v>4871288</v>
      </c>
      <c r="L361" s="16"/>
      <c r="M361" s="16">
        <f>826*E361</f>
        <v>3514134.4</v>
      </c>
      <c r="N361" s="16">
        <f>367*E361</f>
        <v>1561364.7999999998</v>
      </c>
      <c r="O361" s="16"/>
      <c r="P361" s="16"/>
      <c r="Q361" s="16">
        <f>E361*289</f>
        <v>1229521.5999999999</v>
      </c>
      <c r="R361" s="16">
        <f>E361*2694</f>
        <v>11461353.6</v>
      </c>
      <c r="S361" s="16">
        <f>102*E361</f>
        <v>433948.8</v>
      </c>
      <c r="T361" s="16"/>
      <c r="U361" s="15"/>
      <c r="V361" s="19">
        <f t="shared" si="79"/>
        <v>24730827.199999999</v>
      </c>
      <c r="W361" s="20" t="s">
        <v>1174</v>
      </c>
      <c r="X361" s="37">
        <v>0</v>
      </c>
      <c r="Y361" s="37">
        <v>0</v>
      </c>
      <c r="Z361" s="79">
        <v>0</v>
      </c>
      <c r="AA361" s="19">
        <f t="shared" si="76"/>
        <v>24730827.199999999</v>
      </c>
    </row>
    <row r="362" spans="1:27" s="12" customFormat="1" ht="93.75" customHeight="1" x14ac:dyDescent="0.25">
      <c r="A362" s="17">
        <f>IF(OR(D362=0,D362=""),"",COUNTA($D$306:D362))</f>
        <v>49</v>
      </c>
      <c r="B362" s="17" t="s">
        <v>724</v>
      </c>
      <c r="C362" s="90" t="s">
        <v>53</v>
      </c>
      <c r="D362" s="43">
        <v>1970</v>
      </c>
      <c r="E362" s="16">
        <v>5801.8</v>
      </c>
      <c r="F362" s="16">
        <v>4331.5</v>
      </c>
      <c r="G362" s="16">
        <v>60.9</v>
      </c>
      <c r="H362" s="17" t="s">
        <v>257</v>
      </c>
      <c r="I362" s="15"/>
      <c r="J362" s="16"/>
      <c r="K362" s="16"/>
      <c r="L362" s="16"/>
      <c r="M362" s="18"/>
      <c r="N362" s="16"/>
      <c r="O362" s="16"/>
      <c r="P362" s="16">
        <f>2304*E362</f>
        <v>13367347.200000001</v>
      </c>
      <c r="Q362" s="16"/>
      <c r="R362" s="16">
        <f>E362*2694</f>
        <v>15630049.200000001</v>
      </c>
      <c r="S362" s="16"/>
      <c r="T362" s="16"/>
      <c r="U362" s="15"/>
      <c r="V362" s="19">
        <f t="shared" si="79"/>
        <v>28997396.400000002</v>
      </c>
      <c r="W362" s="20" t="s">
        <v>1174</v>
      </c>
      <c r="X362" s="37">
        <v>0</v>
      </c>
      <c r="Y362" s="37">
        <v>0</v>
      </c>
      <c r="Z362" s="79">
        <v>0</v>
      </c>
      <c r="AA362" s="19">
        <f t="shared" si="76"/>
        <v>28997396.400000002</v>
      </c>
    </row>
    <row r="363" spans="1:27" s="12" customFormat="1" ht="93.75" customHeight="1" x14ac:dyDescent="0.25">
      <c r="A363" s="17">
        <f>IF(OR(D363=0,D363=""),"",COUNTA($D$306:D363))</f>
        <v>50</v>
      </c>
      <c r="B363" s="17" t="s">
        <v>1029</v>
      </c>
      <c r="C363" s="90" t="s">
        <v>296</v>
      </c>
      <c r="D363" s="43">
        <v>1951</v>
      </c>
      <c r="E363" s="16">
        <v>4343.6899999999996</v>
      </c>
      <c r="F363" s="16">
        <v>1928.09</v>
      </c>
      <c r="G363" s="16">
        <v>305.89999999999998</v>
      </c>
      <c r="H363" s="17" t="s">
        <v>256</v>
      </c>
      <c r="I363" s="15"/>
      <c r="J363" s="16"/>
      <c r="K363" s="16"/>
      <c r="L363" s="16"/>
      <c r="M363" s="18"/>
      <c r="N363" s="16"/>
      <c r="O363" s="16"/>
      <c r="P363" s="16">
        <f>2304*E363</f>
        <v>10007861.76</v>
      </c>
      <c r="Q363" s="16"/>
      <c r="R363" s="16"/>
      <c r="S363" s="16"/>
      <c r="T363" s="16"/>
      <c r="U363" s="15"/>
      <c r="V363" s="19">
        <f t="shared" si="79"/>
        <v>10007861.76</v>
      </c>
      <c r="W363" s="20" t="s">
        <v>1174</v>
      </c>
      <c r="X363" s="37">
        <v>0</v>
      </c>
      <c r="Y363" s="37">
        <v>0</v>
      </c>
      <c r="Z363" s="79">
        <v>0</v>
      </c>
      <c r="AA363" s="19">
        <f t="shared" si="76"/>
        <v>10007861.76</v>
      </c>
    </row>
    <row r="364" spans="1:27" s="12" customFormat="1" ht="93.75" customHeight="1" x14ac:dyDescent="0.25">
      <c r="A364" s="17">
        <f>IF(OR(D364=0,D364=""),"",COUNTA($D$306:D364))</f>
        <v>51</v>
      </c>
      <c r="B364" s="17" t="s">
        <v>746</v>
      </c>
      <c r="C364" s="90" t="s">
        <v>598</v>
      </c>
      <c r="D364" s="43">
        <v>1958</v>
      </c>
      <c r="E364" s="16">
        <v>2868.3</v>
      </c>
      <c r="F364" s="16">
        <v>1935.7</v>
      </c>
      <c r="G364" s="16">
        <v>74.8</v>
      </c>
      <c r="H364" s="17" t="s">
        <v>256</v>
      </c>
      <c r="I364" s="15"/>
      <c r="J364" s="16"/>
      <c r="K364" s="16">
        <f>1145*E364</f>
        <v>3284203.5</v>
      </c>
      <c r="L364" s="16"/>
      <c r="M364" s="16"/>
      <c r="N364" s="16"/>
      <c r="O364" s="16"/>
      <c r="P364" s="16"/>
      <c r="Q364" s="16"/>
      <c r="R364" s="16"/>
      <c r="S364" s="16">
        <f>102*E364</f>
        <v>292566.60000000003</v>
      </c>
      <c r="T364" s="16"/>
      <c r="U364" s="15"/>
      <c r="V364" s="19">
        <f t="shared" si="79"/>
        <v>3576770.1</v>
      </c>
      <c r="W364" s="20" t="s">
        <v>1174</v>
      </c>
      <c r="X364" s="37">
        <v>0</v>
      </c>
      <c r="Y364" s="37">
        <v>0</v>
      </c>
      <c r="Z364" s="79">
        <v>0</v>
      </c>
      <c r="AA364" s="19">
        <f t="shared" si="76"/>
        <v>3576770.1</v>
      </c>
    </row>
    <row r="365" spans="1:27" s="12" customFormat="1" ht="93.75" customHeight="1" x14ac:dyDescent="0.25">
      <c r="A365" s="17">
        <f>IF(OR(D365=0,D365=""),"",COUNTA($D$306:D365))</f>
        <v>52</v>
      </c>
      <c r="B365" s="17" t="s">
        <v>713</v>
      </c>
      <c r="C365" s="90" t="s">
        <v>479</v>
      </c>
      <c r="D365" s="43">
        <v>1990</v>
      </c>
      <c r="E365" s="16">
        <v>5841.5</v>
      </c>
      <c r="F365" s="16">
        <v>3246.1</v>
      </c>
      <c r="G365" s="16">
        <v>1084</v>
      </c>
      <c r="H365" s="17" t="s">
        <v>251</v>
      </c>
      <c r="I365" s="15"/>
      <c r="J365" s="16"/>
      <c r="K365" s="16"/>
      <c r="L365" s="16"/>
      <c r="M365" s="18"/>
      <c r="N365" s="16"/>
      <c r="O365" s="16"/>
      <c r="P365" s="16">
        <f>527*E365</f>
        <v>3078470.5</v>
      </c>
      <c r="Q365" s="16"/>
      <c r="R365" s="16"/>
      <c r="S365" s="16"/>
      <c r="T365" s="16"/>
      <c r="U365" s="15"/>
      <c r="V365" s="19">
        <f t="shared" si="79"/>
        <v>3078470.5</v>
      </c>
      <c r="W365" s="20" t="s">
        <v>1174</v>
      </c>
      <c r="X365" s="37">
        <v>0</v>
      </c>
      <c r="Y365" s="37">
        <v>0</v>
      </c>
      <c r="Z365" s="79">
        <v>0</v>
      </c>
      <c r="AA365" s="19">
        <f t="shared" si="76"/>
        <v>3078470.5</v>
      </c>
    </row>
    <row r="366" spans="1:27" s="12" customFormat="1" ht="93.75" customHeight="1" x14ac:dyDescent="0.25">
      <c r="A366" s="17">
        <f>IF(OR(D366=0,D366=""),"",COUNTA($D$306:D366))</f>
        <v>53</v>
      </c>
      <c r="B366" s="17" t="s">
        <v>878</v>
      </c>
      <c r="C366" s="90" t="s">
        <v>480</v>
      </c>
      <c r="D366" s="43">
        <v>1986</v>
      </c>
      <c r="E366" s="16">
        <v>9670.17</v>
      </c>
      <c r="F366" s="16">
        <v>6961.58</v>
      </c>
      <c r="G366" s="16">
        <v>2708.59</v>
      </c>
      <c r="H366" s="17" t="s">
        <v>255</v>
      </c>
      <c r="I366" s="15"/>
      <c r="J366" s="16"/>
      <c r="K366" s="16"/>
      <c r="L366" s="16"/>
      <c r="M366" s="18"/>
      <c r="N366" s="16"/>
      <c r="O366" s="16"/>
      <c r="P366" s="16">
        <f>E366*814</f>
        <v>7871518.3799999999</v>
      </c>
      <c r="Q366" s="16"/>
      <c r="R366" s="16"/>
      <c r="S366" s="16"/>
      <c r="T366" s="16"/>
      <c r="U366" s="15"/>
      <c r="V366" s="19">
        <f t="shared" si="79"/>
        <v>7871518.3799999999</v>
      </c>
      <c r="W366" s="20" t="s">
        <v>1174</v>
      </c>
      <c r="X366" s="37">
        <v>0</v>
      </c>
      <c r="Y366" s="37">
        <v>0</v>
      </c>
      <c r="Z366" s="79">
        <v>0</v>
      </c>
      <c r="AA366" s="19">
        <f t="shared" ref="AA366:AA387" si="80">V366-(X366+Y366+Z366)</f>
        <v>7871518.3799999999</v>
      </c>
    </row>
    <row r="367" spans="1:27" s="12" customFormat="1" ht="93.75" customHeight="1" x14ac:dyDescent="0.25">
      <c r="A367" s="17">
        <f>IF(OR(D367=0,D367=""),"",COUNTA($D$306:D367))</f>
        <v>54</v>
      </c>
      <c r="B367" s="17" t="s">
        <v>1014</v>
      </c>
      <c r="C367" s="90" t="s">
        <v>481</v>
      </c>
      <c r="D367" s="43">
        <v>1958</v>
      </c>
      <c r="E367" s="16">
        <v>790.4</v>
      </c>
      <c r="F367" s="16">
        <v>465.1</v>
      </c>
      <c r="G367" s="16">
        <v>325.3</v>
      </c>
      <c r="H367" s="17" t="s">
        <v>250</v>
      </c>
      <c r="I367" s="15"/>
      <c r="J367" s="16"/>
      <c r="K367" s="16"/>
      <c r="L367" s="16"/>
      <c r="M367" s="18"/>
      <c r="N367" s="16"/>
      <c r="O367" s="16"/>
      <c r="P367" s="16">
        <f>E367*3823</f>
        <v>3021699.1999999997</v>
      </c>
      <c r="Q367" s="16"/>
      <c r="R367" s="16"/>
      <c r="S367" s="16"/>
      <c r="T367" s="16"/>
      <c r="U367" s="15"/>
      <c r="V367" s="19">
        <f t="shared" si="79"/>
        <v>3021699.1999999997</v>
      </c>
      <c r="W367" s="20" t="s">
        <v>1174</v>
      </c>
      <c r="X367" s="37">
        <v>0</v>
      </c>
      <c r="Y367" s="37">
        <v>0</v>
      </c>
      <c r="Z367" s="79">
        <v>0</v>
      </c>
      <c r="AA367" s="19">
        <f t="shared" si="80"/>
        <v>3021699.1999999997</v>
      </c>
    </row>
    <row r="368" spans="1:27" s="12" customFormat="1" ht="93.75" customHeight="1" x14ac:dyDescent="0.25">
      <c r="A368" s="17">
        <f>IF(OR(D368=0,D368=""),"",COUNTA($D$306:D368))</f>
        <v>55</v>
      </c>
      <c r="B368" s="17" t="s">
        <v>884</v>
      </c>
      <c r="C368" s="90" t="s">
        <v>482</v>
      </c>
      <c r="D368" s="43">
        <v>1975</v>
      </c>
      <c r="E368" s="16">
        <v>7860.9</v>
      </c>
      <c r="F368" s="16">
        <v>5767</v>
      </c>
      <c r="G368" s="16">
        <v>0</v>
      </c>
      <c r="H368" s="17" t="s">
        <v>257</v>
      </c>
      <c r="I368" s="15"/>
      <c r="J368" s="16"/>
      <c r="K368" s="16"/>
      <c r="L368" s="16"/>
      <c r="M368" s="18"/>
      <c r="N368" s="16"/>
      <c r="O368" s="16"/>
      <c r="P368" s="16">
        <f>2304*E368</f>
        <v>18111513.599999998</v>
      </c>
      <c r="Q368" s="16"/>
      <c r="R368" s="16"/>
      <c r="S368" s="16"/>
      <c r="T368" s="16"/>
      <c r="U368" s="15"/>
      <c r="V368" s="19">
        <f t="shared" si="79"/>
        <v>18111513.599999998</v>
      </c>
      <c r="W368" s="20" t="s">
        <v>1174</v>
      </c>
      <c r="X368" s="37">
        <v>0</v>
      </c>
      <c r="Y368" s="37">
        <v>0</v>
      </c>
      <c r="Z368" s="79">
        <v>0</v>
      </c>
      <c r="AA368" s="19">
        <f t="shared" si="80"/>
        <v>18111513.599999998</v>
      </c>
    </row>
    <row r="369" spans="1:27" s="12" customFormat="1" ht="93.75" customHeight="1" x14ac:dyDescent="0.25">
      <c r="A369" s="17">
        <f>IF(OR(D369=0,D369=""),"",COUNTA($D$306:D369))</f>
        <v>56</v>
      </c>
      <c r="B369" s="17" t="s">
        <v>755</v>
      </c>
      <c r="C369" s="90" t="s">
        <v>483</v>
      </c>
      <c r="D369" s="43">
        <v>2003</v>
      </c>
      <c r="E369" s="16">
        <v>7672.4</v>
      </c>
      <c r="F369" s="16">
        <v>4603</v>
      </c>
      <c r="G369" s="16">
        <v>312.2</v>
      </c>
      <c r="H369" s="17" t="s">
        <v>255</v>
      </c>
      <c r="I369" s="15"/>
      <c r="J369" s="16"/>
      <c r="K369" s="16"/>
      <c r="L369" s="16"/>
      <c r="M369" s="18"/>
      <c r="N369" s="16"/>
      <c r="O369" s="16"/>
      <c r="P369" s="16">
        <f>E369*814</f>
        <v>6245333.5999999996</v>
      </c>
      <c r="Q369" s="16"/>
      <c r="R369" s="16"/>
      <c r="S369" s="16"/>
      <c r="T369" s="16"/>
      <c r="U369" s="15"/>
      <c r="V369" s="19">
        <f t="shared" si="79"/>
        <v>6245333.5999999996</v>
      </c>
      <c r="W369" s="20" t="s">
        <v>1174</v>
      </c>
      <c r="X369" s="37">
        <v>0</v>
      </c>
      <c r="Y369" s="37">
        <v>0</v>
      </c>
      <c r="Z369" s="79">
        <v>0</v>
      </c>
      <c r="AA369" s="19">
        <f t="shared" si="80"/>
        <v>6245333.5999999996</v>
      </c>
    </row>
    <row r="370" spans="1:27" s="12" customFormat="1" ht="93.75" customHeight="1" x14ac:dyDescent="0.25">
      <c r="A370" s="17">
        <f>IF(OR(D370=0,D370=""),"",COUNTA($D$306:D370))</f>
        <v>57</v>
      </c>
      <c r="B370" s="17" t="s">
        <v>918</v>
      </c>
      <c r="C370" s="90" t="s">
        <v>476</v>
      </c>
      <c r="D370" s="43">
        <v>1988</v>
      </c>
      <c r="E370" s="16">
        <v>22147.200000000001</v>
      </c>
      <c r="F370" s="16">
        <v>15170.7</v>
      </c>
      <c r="G370" s="16">
        <v>0</v>
      </c>
      <c r="H370" s="17" t="s">
        <v>255</v>
      </c>
      <c r="I370" s="15"/>
      <c r="J370" s="16"/>
      <c r="K370" s="16">
        <f>854*E370</f>
        <v>18913708.800000001</v>
      </c>
      <c r="L370" s="16"/>
      <c r="M370" s="16"/>
      <c r="N370" s="16"/>
      <c r="O370" s="16"/>
      <c r="P370" s="16"/>
      <c r="Q370" s="16"/>
      <c r="R370" s="16"/>
      <c r="S370" s="16"/>
      <c r="T370" s="16"/>
      <c r="U370" s="15"/>
      <c r="V370" s="19">
        <f t="shared" si="79"/>
        <v>18913708.800000001</v>
      </c>
      <c r="W370" s="20" t="s">
        <v>1174</v>
      </c>
      <c r="X370" s="37">
        <v>0</v>
      </c>
      <c r="Y370" s="37">
        <v>0</v>
      </c>
      <c r="Z370" s="79">
        <v>0</v>
      </c>
      <c r="AA370" s="19">
        <f t="shared" si="80"/>
        <v>18913708.800000001</v>
      </c>
    </row>
    <row r="371" spans="1:27" s="12" customFormat="1" ht="93.75" customHeight="1" x14ac:dyDescent="0.25">
      <c r="A371" s="17">
        <f>IF(OR(D371=0,D371=""),"",COUNTA($D$306:D371))</f>
        <v>58</v>
      </c>
      <c r="B371" s="17" t="s">
        <v>846</v>
      </c>
      <c r="C371" s="90" t="s">
        <v>127</v>
      </c>
      <c r="D371" s="43">
        <v>1964</v>
      </c>
      <c r="E371" s="16">
        <v>2594</v>
      </c>
      <c r="F371" s="16">
        <v>1826</v>
      </c>
      <c r="G371" s="16">
        <v>0</v>
      </c>
      <c r="H371" s="17" t="s">
        <v>257</v>
      </c>
      <c r="I371" s="15"/>
      <c r="J371" s="16">
        <f>390*E371</f>
        <v>1011660</v>
      </c>
      <c r="K371" s="16">
        <f>1145*E371</f>
        <v>2970130</v>
      </c>
      <c r="L371" s="16"/>
      <c r="M371" s="16">
        <f>826*E371</f>
        <v>2142644</v>
      </c>
      <c r="N371" s="16">
        <f>367*E371</f>
        <v>951998</v>
      </c>
      <c r="O371" s="16"/>
      <c r="P371" s="16"/>
      <c r="Q371" s="16"/>
      <c r="R371" s="16"/>
      <c r="S371" s="16"/>
      <c r="T371" s="16"/>
      <c r="U371" s="16">
        <f t="shared" ref="U371" si="81">(J371+K371+L371+M371+N371+O371+P371+Q371+R371+S371+T371)*0.0214</f>
        <v>151435.64479999998</v>
      </c>
      <c r="V371" s="19">
        <f t="shared" si="79"/>
        <v>7227867.6447999999</v>
      </c>
      <c r="W371" s="20" t="s">
        <v>1174</v>
      </c>
      <c r="X371" s="37">
        <v>0</v>
      </c>
      <c r="Y371" s="37">
        <v>0</v>
      </c>
      <c r="Z371" s="79">
        <v>0</v>
      </c>
      <c r="AA371" s="19">
        <f t="shared" si="80"/>
        <v>7227867.6447999999</v>
      </c>
    </row>
    <row r="372" spans="1:27" s="12" customFormat="1" ht="93.75" customHeight="1" x14ac:dyDescent="0.25">
      <c r="A372" s="17">
        <f>IF(OR(D372=0,D372=""),"",COUNTA($D$306:D372))</f>
        <v>59</v>
      </c>
      <c r="B372" s="17" t="s">
        <v>931</v>
      </c>
      <c r="C372" s="90" t="s">
        <v>347</v>
      </c>
      <c r="D372" s="43">
        <v>1981</v>
      </c>
      <c r="E372" s="16">
        <v>3892.8</v>
      </c>
      <c r="F372" s="16">
        <v>2812.9</v>
      </c>
      <c r="G372" s="16">
        <v>0</v>
      </c>
      <c r="H372" s="17" t="s">
        <v>257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6">
        <f>E372*2694</f>
        <v>10487203.200000001</v>
      </c>
      <c r="S372" s="16">
        <f>102*E372</f>
        <v>397065.60000000003</v>
      </c>
      <c r="T372" s="16"/>
      <c r="U372" s="15"/>
      <c r="V372" s="19">
        <f t="shared" si="79"/>
        <v>10884268.800000001</v>
      </c>
      <c r="W372" s="20" t="s">
        <v>1174</v>
      </c>
      <c r="X372" s="37">
        <v>0</v>
      </c>
      <c r="Y372" s="37">
        <v>0</v>
      </c>
      <c r="Z372" s="79">
        <v>0</v>
      </c>
      <c r="AA372" s="19">
        <f t="shared" si="80"/>
        <v>10884268.800000001</v>
      </c>
    </row>
    <row r="373" spans="1:27" s="12" customFormat="1" ht="93.75" customHeight="1" x14ac:dyDescent="0.25">
      <c r="A373" s="17">
        <f>IF(OR(D373=0,D373=""),"",COUNTA($D$306:D373))</f>
        <v>60</v>
      </c>
      <c r="B373" s="17" t="s">
        <v>828</v>
      </c>
      <c r="C373" s="91" t="s">
        <v>332</v>
      </c>
      <c r="D373" s="50">
        <v>1970</v>
      </c>
      <c r="E373" s="16">
        <f>F373+G373</f>
        <v>5079</v>
      </c>
      <c r="F373" s="16">
        <v>4099</v>
      </c>
      <c r="G373" s="16">
        <v>980</v>
      </c>
      <c r="H373" s="17" t="s">
        <v>257</v>
      </c>
      <c r="I373" s="16"/>
      <c r="J373" s="16"/>
      <c r="K373" s="16"/>
      <c r="L373" s="23"/>
      <c r="M373" s="16"/>
      <c r="N373" s="16"/>
      <c r="O373" s="16"/>
      <c r="P373" s="16">
        <f>2304*E373</f>
        <v>11702016</v>
      </c>
      <c r="Q373" s="23"/>
      <c r="R373" s="23"/>
      <c r="S373" s="16"/>
      <c r="T373" s="16"/>
      <c r="U373" s="15"/>
      <c r="V373" s="19">
        <f t="shared" si="79"/>
        <v>11702016</v>
      </c>
      <c r="W373" s="20" t="s">
        <v>1174</v>
      </c>
      <c r="X373" s="37">
        <v>0</v>
      </c>
      <c r="Y373" s="37">
        <v>0</v>
      </c>
      <c r="Z373" s="79">
        <v>0</v>
      </c>
      <c r="AA373" s="19">
        <f t="shared" si="80"/>
        <v>11702016</v>
      </c>
    </row>
    <row r="374" spans="1:27" s="12" customFormat="1" ht="93.75" customHeight="1" x14ac:dyDescent="0.25">
      <c r="A374" s="17">
        <f>IF(OR(D374=0,D374=""),"",COUNTA($D$306:D374))</f>
        <v>61</v>
      </c>
      <c r="B374" s="17" t="s">
        <v>1165</v>
      </c>
      <c r="C374" s="91" t="s">
        <v>331</v>
      </c>
      <c r="D374" s="50">
        <v>1968</v>
      </c>
      <c r="E374" s="16">
        <v>3452.3</v>
      </c>
      <c r="F374" s="16">
        <v>2881.6</v>
      </c>
      <c r="G374" s="16">
        <v>303.7</v>
      </c>
      <c r="H374" s="17" t="s">
        <v>257</v>
      </c>
      <c r="I374" s="16"/>
      <c r="J374" s="16"/>
      <c r="K374" s="16"/>
      <c r="L374" s="23"/>
      <c r="M374" s="16"/>
      <c r="N374" s="16"/>
      <c r="O374" s="16"/>
      <c r="P374" s="16">
        <f>2304*E374</f>
        <v>7954099.2000000002</v>
      </c>
      <c r="Q374" s="23"/>
      <c r="R374" s="23"/>
      <c r="S374" s="16"/>
      <c r="T374" s="16"/>
      <c r="U374" s="15"/>
      <c r="V374" s="19">
        <f t="shared" si="79"/>
        <v>7954099.2000000002</v>
      </c>
      <c r="W374" s="20" t="s">
        <v>1174</v>
      </c>
      <c r="X374" s="37">
        <v>0</v>
      </c>
      <c r="Y374" s="37">
        <v>0</v>
      </c>
      <c r="Z374" s="79">
        <v>0</v>
      </c>
      <c r="AA374" s="19">
        <f t="shared" si="80"/>
        <v>7954099.2000000002</v>
      </c>
    </row>
    <row r="375" spans="1:27" s="12" customFormat="1" ht="93.75" customHeight="1" x14ac:dyDescent="0.25">
      <c r="A375" s="17">
        <f>IF(OR(D375=0,D375=""),"",COUNTA($D$306:D375))</f>
        <v>62</v>
      </c>
      <c r="B375" s="17" t="s">
        <v>783</v>
      </c>
      <c r="C375" s="90" t="s">
        <v>449</v>
      </c>
      <c r="D375" s="43">
        <v>1953</v>
      </c>
      <c r="E375" s="16">
        <v>3226.7</v>
      </c>
      <c r="F375" s="16">
        <v>2629.2</v>
      </c>
      <c r="G375" s="16">
        <v>597.5</v>
      </c>
      <c r="H375" s="17" t="s">
        <v>344</v>
      </c>
      <c r="I375" s="15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>
        <f>359*E375</f>
        <v>1158385.3</v>
      </c>
      <c r="U375" s="15"/>
      <c r="V375" s="19">
        <f t="shared" si="79"/>
        <v>1158385.3</v>
      </c>
      <c r="W375" s="20" t="s">
        <v>1174</v>
      </c>
      <c r="X375" s="37">
        <v>0</v>
      </c>
      <c r="Y375" s="37">
        <v>0</v>
      </c>
      <c r="Z375" s="79">
        <v>0</v>
      </c>
      <c r="AA375" s="19">
        <f t="shared" si="80"/>
        <v>1158385.3</v>
      </c>
    </row>
    <row r="376" spans="1:27" s="12" customFormat="1" ht="93.75" customHeight="1" x14ac:dyDescent="0.25">
      <c r="A376" s="17">
        <f>IF(OR(D376=0,D376=""),"",COUNTA($D$306:D376))</f>
        <v>63</v>
      </c>
      <c r="B376" s="17" t="s">
        <v>785</v>
      </c>
      <c r="C376" s="90" t="s">
        <v>448</v>
      </c>
      <c r="D376" s="43">
        <v>1951</v>
      </c>
      <c r="E376" s="16">
        <v>2589.9</v>
      </c>
      <c r="F376" s="16">
        <v>1674.8</v>
      </c>
      <c r="G376" s="16">
        <v>915.1</v>
      </c>
      <c r="H376" s="17" t="s">
        <v>450</v>
      </c>
      <c r="I376" s="15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>
        <f>359*E376</f>
        <v>929774.1</v>
      </c>
      <c r="U376" s="15"/>
      <c r="V376" s="19">
        <f t="shared" si="79"/>
        <v>929774.1</v>
      </c>
      <c r="W376" s="20" t="s">
        <v>1174</v>
      </c>
      <c r="X376" s="37">
        <v>0</v>
      </c>
      <c r="Y376" s="37">
        <v>0</v>
      </c>
      <c r="Z376" s="79">
        <v>0</v>
      </c>
      <c r="AA376" s="19">
        <f t="shared" si="80"/>
        <v>929774.1</v>
      </c>
    </row>
    <row r="377" spans="1:27" s="12" customFormat="1" ht="93.75" customHeight="1" x14ac:dyDescent="0.25">
      <c r="A377" s="17">
        <f>IF(OR(D377=0,D377=""),"",COUNTA($D$306:D377))</f>
        <v>64</v>
      </c>
      <c r="B377" s="17" t="s">
        <v>905</v>
      </c>
      <c r="C377" s="90" t="s">
        <v>159</v>
      </c>
      <c r="D377" s="43">
        <v>1968</v>
      </c>
      <c r="E377" s="16">
        <v>4353.88</v>
      </c>
      <c r="F377" s="16">
        <v>2720.6</v>
      </c>
      <c r="G377" s="16">
        <v>1026.8</v>
      </c>
      <c r="H377" s="17" t="s">
        <v>257</v>
      </c>
      <c r="I377" s="44"/>
      <c r="J377" s="16"/>
      <c r="K377" s="16"/>
      <c r="L377" s="16"/>
      <c r="M377" s="16"/>
      <c r="N377" s="16"/>
      <c r="O377" s="16"/>
      <c r="P377" s="16">
        <f>2304*E377</f>
        <v>10031339.52</v>
      </c>
      <c r="Q377" s="16"/>
      <c r="R377" s="16"/>
      <c r="S377" s="16"/>
      <c r="T377" s="16"/>
      <c r="U377" s="15"/>
      <c r="V377" s="19">
        <f t="shared" si="79"/>
        <v>10031339.52</v>
      </c>
      <c r="W377" s="20" t="s">
        <v>1174</v>
      </c>
      <c r="X377" s="37">
        <v>0</v>
      </c>
      <c r="Y377" s="37">
        <v>0</v>
      </c>
      <c r="Z377" s="79">
        <v>0</v>
      </c>
      <c r="AA377" s="19">
        <f t="shared" si="80"/>
        <v>10031339.52</v>
      </c>
    </row>
    <row r="378" spans="1:27" s="12" customFormat="1" ht="93.75" customHeight="1" x14ac:dyDescent="0.25">
      <c r="A378" s="17">
        <f>IF(OR(D378=0,D378=""),"",COUNTA($D$306:D378))</f>
        <v>65</v>
      </c>
      <c r="B378" s="17" t="s">
        <v>771</v>
      </c>
      <c r="C378" s="90" t="s">
        <v>80</v>
      </c>
      <c r="D378" s="43">
        <v>1970</v>
      </c>
      <c r="E378" s="16">
        <v>7881</v>
      </c>
      <c r="F378" s="16">
        <v>5777.4</v>
      </c>
      <c r="G378" s="16">
        <v>0</v>
      </c>
      <c r="H378" s="17" t="s">
        <v>257</v>
      </c>
      <c r="I378" s="15"/>
      <c r="J378" s="16"/>
      <c r="K378" s="16"/>
      <c r="L378" s="16"/>
      <c r="M378" s="16"/>
      <c r="N378" s="16"/>
      <c r="O378" s="16"/>
      <c r="P378" s="16">
        <f>2304*E378</f>
        <v>18157824</v>
      </c>
      <c r="Q378" s="16"/>
      <c r="R378" s="16"/>
      <c r="S378" s="16"/>
      <c r="T378" s="16"/>
      <c r="U378" s="16"/>
      <c r="V378" s="19">
        <f t="shared" si="79"/>
        <v>18157824</v>
      </c>
      <c r="W378" s="20" t="s">
        <v>1174</v>
      </c>
      <c r="X378" s="37">
        <v>0</v>
      </c>
      <c r="Y378" s="37">
        <v>0</v>
      </c>
      <c r="Z378" s="79">
        <v>0</v>
      </c>
      <c r="AA378" s="19">
        <f t="shared" si="80"/>
        <v>18157824</v>
      </c>
    </row>
    <row r="379" spans="1:27" s="12" customFormat="1" ht="93.75" customHeight="1" x14ac:dyDescent="0.25">
      <c r="A379" s="17">
        <f>IF(OR(D379=0,D379=""),"",COUNTA($D$306:D379))</f>
        <v>66</v>
      </c>
      <c r="B379" s="17" t="s">
        <v>815</v>
      </c>
      <c r="C379" s="90" t="s">
        <v>371</v>
      </c>
      <c r="D379" s="43">
        <v>1973</v>
      </c>
      <c r="E379" s="16">
        <v>2434.5</v>
      </c>
      <c r="F379" s="16">
        <v>1846.7</v>
      </c>
      <c r="G379" s="16">
        <v>0</v>
      </c>
      <c r="H379" s="17" t="s">
        <v>257</v>
      </c>
      <c r="I379" s="15"/>
      <c r="J379" s="16"/>
      <c r="K379" s="16"/>
      <c r="L379" s="16"/>
      <c r="M379" s="16"/>
      <c r="N379" s="16"/>
      <c r="O379" s="16"/>
      <c r="P379" s="16"/>
      <c r="Q379" s="16"/>
      <c r="R379" s="16">
        <f>E379*2694</f>
        <v>6558543</v>
      </c>
      <c r="S379" s="16"/>
      <c r="T379" s="16"/>
      <c r="U379" s="16"/>
      <c r="V379" s="19">
        <f t="shared" ref="V379" si="82">J379+K379+L379+M379+N379+O379+P379+Q379+R379+S379+T379+U379</f>
        <v>6558543</v>
      </c>
      <c r="W379" s="20" t="s">
        <v>1174</v>
      </c>
      <c r="X379" s="37">
        <v>0</v>
      </c>
      <c r="Y379" s="37">
        <v>0</v>
      </c>
      <c r="Z379" s="79">
        <v>0</v>
      </c>
      <c r="AA379" s="19">
        <f t="shared" si="80"/>
        <v>6558543</v>
      </c>
    </row>
    <row r="380" spans="1:27" s="12" customFormat="1" ht="93.75" customHeight="1" x14ac:dyDescent="0.25">
      <c r="A380" s="17">
        <f>IF(OR(D380=0,D380=""),"",COUNTA($D$306:D380))</f>
        <v>67</v>
      </c>
      <c r="B380" s="17" t="s">
        <v>773</v>
      </c>
      <c r="C380" s="90" t="s">
        <v>360</v>
      </c>
      <c r="D380" s="49">
        <v>1972</v>
      </c>
      <c r="E380" s="45">
        <v>7567</v>
      </c>
      <c r="F380" s="45">
        <v>5619.3</v>
      </c>
      <c r="G380" s="45">
        <v>0</v>
      </c>
      <c r="H380" s="17" t="s">
        <v>257</v>
      </c>
      <c r="I380" s="15"/>
      <c r="J380" s="16"/>
      <c r="K380" s="16"/>
      <c r="L380" s="16"/>
      <c r="M380" s="16"/>
      <c r="N380" s="16"/>
      <c r="O380" s="16"/>
      <c r="P380" s="16"/>
      <c r="Q380" s="16"/>
      <c r="R380" s="16">
        <f>E380*2694</f>
        <v>20385498</v>
      </c>
      <c r="S380" s="16"/>
      <c r="T380" s="16"/>
      <c r="U380" s="15"/>
      <c r="V380" s="19">
        <f t="shared" si="79"/>
        <v>20385498</v>
      </c>
      <c r="W380" s="20" t="s">
        <v>1174</v>
      </c>
      <c r="X380" s="37">
        <v>0</v>
      </c>
      <c r="Y380" s="37">
        <v>0</v>
      </c>
      <c r="Z380" s="79">
        <v>0</v>
      </c>
      <c r="AA380" s="19">
        <f t="shared" si="80"/>
        <v>20385498</v>
      </c>
    </row>
    <row r="381" spans="1:27" s="12" customFormat="1" ht="93.75" customHeight="1" x14ac:dyDescent="0.25">
      <c r="A381" s="17">
        <f>IF(OR(D381=0,D381=""),"",COUNTA($D$306:D381))</f>
        <v>68</v>
      </c>
      <c r="B381" s="17" t="s">
        <v>1151</v>
      </c>
      <c r="C381" s="90" t="s">
        <v>198</v>
      </c>
      <c r="D381" s="15">
        <v>1959</v>
      </c>
      <c r="E381" s="16">
        <v>2262</v>
      </c>
      <c r="F381" s="16">
        <v>1505.9</v>
      </c>
      <c r="G381" s="16">
        <v>72.5</v>
      </c>
      <c r="H381" s="17" t="s">
        <v>257</v>
      </c>
      <c r="I381" s="15"/>
      <c r="J381" s="16">
        <f>390*E381</f>
        <v>882180</v>
      </c>
      <c r="K381" s="16">
        <f>1145*E381</f>
        <v>2589990</v>
      </c>
      <c r="L381" s="16"/>
      <c r="M381" s="16">
        <f>826*E381</f>
        <v>1868412</v>
      </c>
      <c r="N381" s="16">
        <f>367*E381</f>
        <v>830154</v>
      </c>
      <c r="O381" s="16"/>
      <c r="P381" s="16"/>
      <c r="Q381" s="16"/>
      <c r="R381" s="16"/>
      <c r="S381" s="16"/>
      <c r="T381" s="16"/>
      <c r="U381" s="16"/>
      <c r="V381" s="19">
        <f t="shared" si="79"/>
        <v>6170736</v>
      </c>
      <c r="W381" s="20" t="s">
        <v>1174</v>
      </c>
      <c r="X381" s="37">
        <v>0</v>
      </c>
      <c r="Y381" s="37">
        <v>0</v>
      </c>
      <c r="Z381" s="79">
        <v>0</v>
      </c>
      <c r="AA381" s="19">
        <f t="shared" si="80"/>
        <v>6170736</v>
      </c>
    </row>
    <row r="382" spans="1:27" s="12" customFormat="1" ht="93.75" customHeight="1" x14ac:dyDescent="0.25">
      <c r="A382" s="17">
        <f>IF(OR(D382=0,D382=""),"",COUNTA($D$306:D382))</f>
        <v>69</v>
      </c>
      <c r="B382" s="17" t="s">
        <v>959</v>
      </c>
      <c r="C382" s="90" t="s">
        <v>182</v>
      </c>
      <c r="D382" s="43">
        <v>1964</v>
      </c>
      <c r="E382" s="16">
        <v>4079.7</v>
      </c>
      <c r="F382" s="16">
        <v>2149.9</v>
      </c>
      <c r="G382" s="16">
        <v>506.17</v>
      </c>
      <c r="H382" s="17" t="s">
        <v>257</v>
      </c>
      <c r="I382" s="15"/>
      <c r="J382" s="16">
        <f>390*E382</f>
        <v>1591083</v>
      </c>
      <c r="K382" s="16">
        <f>1145*E382</f>
        <v>4671256.5</v>
      </c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9">
        <f t="shared" si="79"/>
        <v>6262339.5</v>
      </c>
      <c r="W382" s="20" t="s">
        <v>1174</v>
      </c>
      <c r="X382" s="37">
        <v>0</v>
      </c>
      <c r="Y382" s="37">
        <v>0</v>
      </c>
      <c r="Z382" s="79">
        <v>0</v>
      </c>
      <c r="AA382" s="19">
        <f t="shared" si="80"/>
        <v>6262339.5</v>
      </c>
    </row>
    <row r="383" spans="1:27" s="12" customFormat="1" ht="93.75" customHeight="1" x14ac:dyDescent="0.25">
      <c r="A383" s="17">
        <f>IF(OR(D383=0,D383=""),"",COUNTA($D$306:D383))</f>
        <v>70</v>
      </c>
      <c r="B383" s="17" t="s">
        <v>981</v>
      </c>
      <c r="C383" s="90" t="s">
        <v>188</v>
      </c>
      <c r="D383" s="43">
        <v>1965</v>
      </c>
      <c r="E383" s="16">
        <v>3424.4</v>
      </c>
      <c r="F383" s="16">
        <v>2572.8000000000002</v>
      </c>
      <c r="G383" s="16">
        <v>721.8</v>
      </c>
      <c r="H383" s="17" t="s">
        <v>257</v>
      </c>
      <c r="I383" s="15"/>
      <c r="J383" s="16"/>
      <c r="K383" s="16">
        <f>1145*E383</f>
        <v>3920938</v>
      </c>
      <c r="L383" s="16"/>
      <c r="M383" s="16">
        <f>826*E383</f>
        <v>2828554.4</v>
      </c>
      <c r="N383" s="16">
        <f>367*E383</f>
        <v>1256754.8</v>
      </c>
      <c r="O383" s="16"/>
      <c r="P383" s="16"/>
      <c r="Q383" s="16"/>
      <c r="R383" s="16"/>
      <c r="S383" s="16"/>
      <c r="T383" s="16"/>
      <c r="U383" s="16"/>
      <c r="V383" s="19">
        <f t="shared" si="79"/>
        <v>8006247.2000000002</v>
      </c>
      <c r="W383" s="20" t="s">
        <v>1174</v>
      </c>
      <c r="X383" s="37">
        <v>0</v>
      </c>
      <c r="Y383" s="37">
        <v>0</v>
      </c>
      <c r="Z383" s="79">
        <v>0</v>
      </c>
      <c r="AA383" s="19">
        <f t="shared" si="80"/>
        <v>8006247.2000000002</v>
      </c>
    </row>
    <row r="384" spans="1:27" s="12" customFormat="1" ht="93.75" customHeight="1" x14ac:dyDescent="0.25">
      <c r="A384" s="17">
        <f>IF(OR(D384=0,D384=""),"",COUNTA($D$306:D384))</f>
        <v>71</v>
      </c>
      <c r="B384" s="17" t="s">
        <v>863</v>
      </c>
      <c r="C384" s="90" t="s">
        <v>140</v>
      </c>
      <c r="D384" s="43">
        <v>1966</v>
      </c>
      <c r="E384" s="16">
        <v>2482.1</v>
      </c>
      <c r="F384" s="16">
        <v>1619</v>
      </c>
      <c r="G384" s="16">
        <v>0</v>
      </c>
      <c r="H384" s="17" t="s">
        <v>257</v>
      </c>
      <c r="I384" s="15"/>
      <c r="J384" s="16"/>
      <c r="K384" s="16"/>
      <c r="L384" s="23"/>
      <c r="M384" s="16"/>
      <c r="N384" s="16"/>
      <c r="O384" s="16"/>
      <c r="P384" s="16"/>
      <c r="Q384" s="16">
        <f>E384*289</f>
        <v>717326.9</v>
      </c>
      <c r="R384" s="16"/>
      <c r="S384" s="16"/>
      <c r="T384" s="23"/>
      <c r="U384" s="16"/>
      <c r="V384" s="19">
        <f t="shared" si="79"/>
        <v>717326.9</v>
      </c>
      <c r="W384" s="20" t="s">
        <v>1174</v>
      </c>
      <c r="X384" s="37">
        <v>0</v>
      </c>
      <c r="Y384" s="37">
        <v>0</v>
      </c>
      <c r="Z384" s="79">
        <v>0</v>
      </c>
      <c r="AA384" s="19">
        <f t="shared" si="80"/>
        <v>717326.9</v>
      </c>
    </row>
    <row r="385" spans="1:27" s="12" customFormat="1" ht="93.75" customHeight="1" x14ac:dyDescent="0.25">
      <c r="A385" s="17">
        <f>IF(OR(D385=0,D385=""),"",COUNTA($D$306:D385))</f>
        <v>72</v>
      </c>
      <c r="B385" s="17" t="s">
        <v>756</v>
      </c>
      <c r="C385" s="90" t="s">
        <v>71</v>
      </c>
      <c r="D385" s="43">
        <v>1958</v>
      </c>
      <c r="E385" s="16">
        <v>2890.78</v>
      </c>
      <c r="F385" s="16">
        <v>1215.3800000000001</v>
      </c>
      <c r="G385" s="16">
        <v>1449.3</v>
      </c>
      <c r="H385" s="17" t="s">
        <v>256</v>
      </c>
      <c r="I385" s="15"/>
      <c r="J385" s="16">
        <f>390*E385</f>
        <v>1127404.2000000002</v>
      </c>
      <c r="K385" s="16"/>
      <c r="L385" s="16"/>
      <c r="M385" s="18"/>
      <c r="N385" s="16"/>
      <c r="O385" s="16"/>
      <c r="P385" s="16"/>
      <c r="Q385" s="16">
        <f>E385*289</f>
        <v>835435.42</v>
      </c>
      <c r="R385" s="16"/>
      <c r="S385" s="16"/>
      <c r="T385" s="16"/>
      <c r="U385" s="16"/>
      <c r="V385" s="19">
        <f t="shared" si="79"/>
        <v>1962839.62</v>
      </c>
      <c r="W385" s="20" t="s">
        <v>1174</v>
      </c>
      <c r="X385" s="37">
        <v>0</v>
      </c>
      <c r="Y385" s="37">
        <v>0</v>
      </c>
      <c r="Z385" s="79">
        <v>0</v>
      </c>
      <c r="AA385" s="19">
        <f t="shared" si="80"/>
        <v>1962839.62</v>
      </c>
    </row>
    <row r="386" spans="1:27" s="12" customFormat="1" ht="93.75" customHeight="1" x14ac:dyDescent="0.25">
      <c r="A386" s="17">
        <f>IF(OR(D386=0,D386=""),"",COUNTA($D$306:D386))</f>
        <v>73</v>
      </c>
      <c r="B386" s="17" t="s">
        <v>767</v>
      </c>
      <c r="C386" s="90" t="s">
        <v>77</v>
      </c>
      <c r="D386" s="43">
        <v>1958</v>
      </c>
      <c r="E386" s="16">
        <v>2403.8000000000002</v>
      </c>
      <c r="F386" s="16">
        <v>1780.9</v>
      </c>
      <c r="G386" s="16">
        <v>158.5</v>
      </c>
      <c r="H386" s="17" t="s">
        <v>257</v>
      </c>
      <c r="I386" s="15"/>
      <c r="J386" s="16">
        <f>390*E386</f>
        <v>937482.00000000012</v>
      </c>
      <c r="K386" s="16">
        <f>1145*E386</f>
        <v>2752351</v>
      </c>
      <c r="L386" s="16"/>
      <c r="M386" s="16">
        <f>826*E386</f>
        <v>1985538.8</v>
      </c>
      <c r="N386" s="16">
        <f>367*E386</f>
        <v>882194.60000000009</v>
      </c>
      <c r="O386" s="16"/>
      <c r="P386" s="16"/>
      <c r="Q386" s="16">
        <f>E386*289</f>
        <v>694698.20000000007</v>
      </c>
      <c r="R386" s="16"/>
      <c r="S386" s="16">
        <f>102*E386</f>
        <v>245187.6</v>
      </c>
      <c r="T386" s="16"/>
      <c r="U386" s="16"/>
      <c r="V386" s="19">
        <f t="shared" si="79"/>
        <v>7497452.2000000002</v>
      </c>
      <c r="W386" s="20" t="s">
        <v>1174</v>
      </c>
      <c r="X386" s="37">
        <v>0</v>
      </c>
      <c r="Y386" s="37">
        <v>0</v>
      </c>
      <c r="Z386" s="79">
        <v>0</v>
      </c>
      <c r="AA386" s="19">
        <f t="shared" si="80"/>
        <v>7497452.2000000002</v>
      </c>
    </row>
    <row r="387" spans="1:27" s="12" customFormat="1" ht="93.75" customHeight="1" x14ac:dyDescent="0.25">
      <c r="A387" s="17">
        <f>IF(OR(D387=0,D387=""),"",COUNTA($D$306:D387))</f>
        <v>74</v>
      </c>
      <c r="B387" s="17" t="s">
        <v>904</v>
      </c>
      <c r="C387" s="90" t="s">
        <v>394</v>
      </c>
      <c r="D387" s="43">
        <v>1967</v>
      </c>
      <c r="E387" s="16">
        <v>6590.98</v>
      </c>
      <c r="F387" s="16">
        <v>4374.1000000000004</v>
      </c>
      <c r="G387" s="16">
        <v>1569.6</v>
      </c>
      <c r="H387" s="17" t="s">
        <v>257</v>
      </c>
      <c r="I387" s="15"/>
      <c r="J387" s="16"/>
      <c r="K387" s="16"/>
      <c r="L387" s="16"/>
      <c r="M387" s="16"/>
      <c r="N387" s="16"/>
      <c r="O387" s="15"/>
      <c r="P387" s="16">
        <f>2304*E387</f>
        <v>15185617.919999998</v>
      </c>
      <c r="Q387" s="16"/>
      <c r="R387" s="16"/>
      <c r="S387" s="16"/>
      <c r="T387" s="16"/>
      <c r="U387" s="16"/>
      <c r="V387" s="19">
        <f t="shared" ref="V387" si="83">J387+K387+L387+M387+N387+O387+P387+Q387+R387+S387+T387+U387</f>
        <v>15185617.919999998</v>
      </c>
      <c r="W387" s="20" t="s">
        <v>1174</v>
      </c>
      <c r="X387" s="37">
        <v>0</v>
      </c>
      <c r="Y387" s="37">
        <v>0</v>
      </c>
      <c r="Z387" s="79">
        <v>0</v>
      </c>
      <c r="AA387" s="19">
        <f t="shared" si="80"/>
        <v>15185617.919999998</v>
      </c>
    </row>
    <row r="388" spans="1:27" s="12" customFormat="1" ht="93.75" customHeight="1" x14ac:dyDescent="0.25">
      <c r="A388" s="17">
        <f>IF(OR(D388=0,D388=""),"",COUNTA($D$306:D388))</f>
        <v>75</v>
      </c>
      <c r="B388" s="17" t="s">
        <v>819</v>
      </c>
      <c r="C388" s="90" t="s">
        <v>411</v>
      </c>
      <c r="D388" s="43">
        <v>1990</v>
      </c>
      <c r="E388" s="16">
        <v>7034.1</v>
      </c>
      <c r="F388" s="16">
        <v>3455.2</v>
      </c>
      <c r="G388" s="16">
        <v>27</v>
      </c>
      <c r="H388" s="17" t="s">
        <v>255</v>
      </c>
      <c r="I388" s="15">
        <v>3</v>
      </c>
      <c r="J388" s="16"/>
      <c r="K388" s="16"/>
      <c r="L388" s="16"/>
      <c r="M388" s="16"/>
      <c r="N388" s="16"/>
      <c r="O388" s="16">
        <f t="shared" ref="O388:O397" si="84">2900000*I388</f>
        <v>8700000</v>
      </c>
      <c r="P388" s="16"/>
      <c r="Q388" s="16"/>
      <c r="R388" s="16"/>
      <c r="S388" s="16"/>
      <c r="T388" s="16">
        <f t="shared" ref="T388:T393" si="85">48*E388</f>
        <v>337636.80000000005</v>
      </c>
      <c r="U388" s="15"/>
      <c r="V388" s="19">
        <f t="shared" si="79"/>
        <v>9037636.8000000007</v>
      </c>
      <c r="W388" s="20" t="s">
        <v>1174</v>
      </c>
      <c r="X388" s="37">
        <v>0</v>
      </c>
      <c r="Y388" s="37">
        <v>0</v>
      </c>
      <c r="Z388" s="79">
        <v>0</v>
      </c>
      <c r="AA388" s="19">
        <f t="shared" ref="AA388:AA418" si="86">V388-(X388+Y388+Z388)</f>
        <v>9037636.8000000007</v>
      </c>
    </row>
    <row r="389" spans="1:27" s="12" customFormat="1" ht="93.75" customHeight="1" x14ac:dyDescent="0.25">
      <c r="A389" s="17">
        <f>IF(OR(D389=0,D389=""),"",COUNTA($D$306:D389))</f>
        <v>76</v>
      </c>
      <c r="B389" s="17" t="s">
        <v>957</v>
      </c>
      <c r="C389" s="90" t="s">
        <v>414</v>
      </c>
      <c r="D389" s="43">
        <v>1982</v>
      </c>
      <c r="E389" s="16">
        <v>4976.5</v>
      </c>
      <c r="F389" s="16">
        <v>3850.4</v>
      </c>
      <c r="G389" s="16">
        <v>1126.0999999999999</v>
      </c>
      <c r="H389" s="17" t="s">
        <v>255</v>
      </c>
      <c r="I389" s="15">
        <v>2</v>
      </c>
      <c r="J389" s="16"/>
      <c r="K389" s="16"/>
      <c r="L389" s="16"/>
      <c r="M389" s="16"/>
      <c r="N389" s="16"/>
      <c r="O389" s="16">
        <f t="shared" si="84"/>
        <v>5800000</v>
      </c>
      <c r="P389" s="16"/>
      <c r="Q389" s="16"/>
      <c r="R389" s="16"/>
      <c r="S389" s="16"/>
      <c r="T389" s="16">
        <f t="shared" si="85"/>
        <v>238872</v>
      </c>
      <c r="U389" s="15"/>
      <c r="V389" s="19">
        <f t="shared" si="79"/>
        <v>6038872</v>
      </c>
      <c r="W389" s="20" t="s">
        <v>1174</v>
      </c>
      <c r="X389" s="37">
        <v>0</v>
      </c>
      <c r="Y389" s="37">
        <v>0</v>
      </c>
      <c r="Z389" s="79">
        <v>0</v>
      </c>
      <c r="AA389" s="19">
        <f t="shared" si="86"/>
        <v>6038872</v>
      </c>
    </row>
    <row r="390" spans="1:27" s="12" customFormat="1" ht="93.75" customHeight="1" x14ac:dyDescent="0.25">
      <c r="A390" s="17">
        <f>IF(OR(D390=0,D390=""),"",COUNTA($D$306:D390))</f>
        <v>77</v>
      </c>
      <c r="B390" s="17" t="s">
        <v>1166</v>
      </c>
      <c r="C390" s="90" t="s">
        <v>388</v>
      </c>
      <c r="D390" s="43">
        <v>1973</v>
      </c>
      <c r="E390" s="16">
        <v>3060</v>
      </c>
      <c r="F390" s="16">
        <v>2182.4</v>
      </c>
      <c r="G390" s="16">
        <v>0</v>
      </c>
      <c r="H390" s="17" t="s">
        <v>255</v>
      </c>
      <c r="I390" s="15">
        <v>1</v>
      </c>
      <c r="J390" s="16"/>
      <c r="K390" s="16">
        <f>854*E390</f>
        <v>2613240</v>
      </c>
      <c r="L390" s="16"/>
      <c r="M390" s="16"/>
      <c r="N390" s="16"/>
      <c r="O390" s="16">
        <f t="shared" si="84"/>
        <v>2900000</v>
      </c>
      <c r="P390" s="16"/>
      <c r="Q390" s="16"/>
      <c r="R390" s="16"/>
      <c r="S390" s="16"/>
      <c r="T390" s="16">
        <f t="shared" si="85"/>
        <v>146880</v>
      </c>
      <c r="U390" s="15"/>
      <c r="V390" s="19">
        <f t="shared" si="79"/>
        <v>5660120</v>
      </c>
      <c r="W390" s="20" t="s">
        <v>1174</v>
      </c>
      <c r="X390" s="37">
        <v>0</v>
      </c>
      <c r="Y390" s="37">
        <v>0</v>
      </c>
      <c r="Z390" s="79">
        <v>0</v>
      </c>
      <c r="AA390" s="19">
        <f t="shared" si="86"/>
        <v>5660120</v>
      </c>
    </row>
    <row r="391" spans="1:27" s="12" customFormat="1" ht="93.75" customHeight="1" x14ac:dyDescent="0.25">
      <c r="A391" s="17">
        <f>IF(OR(D391=0,D391=""),"",COUNTA($D$306:D391))</f>
        <v>78</v>
      </c>
      <c r="B391" s="17" t="s">
        <v>781</v>
      </c>
      <c r="C391" s="90" t="s">
        <v>401</v>
      </c>
      <c r="D391" s="43">
        <v>1986</v>
      </c>
      <c r="E391" s="16">
        <v>3630.1</v>
      </c>
      <c r="F391" s="16">
        <v>2121.8000000000002</v>
      </c>
      <c r="G391" s="16">
        <v>291.10000000000002</v>
      </c>
      <c r="H391" s="17" t="s">
        <v>255</v>
      </c>
      <c r="I391" s="15">
        <v>1</v>
      </c>
      <c r="J391" s="16"/>
      <c r="K391" s="16"/>
      <c r="L391" s="16"/>
      <c r="M391" s="16"/>
      <c r="N391" s="16"/>
      <c r="O391" s="16">
        <f t="shared" si="84"/>
        <v>2900000</v>
      </c>
      <c r="P391" s="16"/>
      <c r="Q391" s="16"/>
      <c r="R391" s="16"/>
      <c r="S391" s="16"/>
      <c r="T391" s="16">
        <f t="shared" si="85"/>
        <v>174244.8</v>
      </c>
      <c r="U391" s="15"/>
      <c r="V391" s="19">
        <f t="shared" si="79"/>
        <v>3074244.8</v>
      </c>
      <c r="W391" s="20" t="s">
        <v>1174</v>
      </c>
      <c r="X391" s="37">
        <v>0</v>
      </c>
      <c r="Y391" s="37">
        <v>0</v>
      </c>
      <c r="Z391" s="79">
        <v>0</v>
      </c>
      <c r="AA391" s="19">
        <f t="shared" si="86"/>
        <v>3074244.8</v>
      </c>
    </row>
    <row r="392" spans="1:27" s="12" customFormat="1" ht="93.75" customHeight="1" x14ac:dyDescent="0.25">
      <c r="A392" s="17">
        <f>IF(OR(D392=0,D392=""),"",COUNTA($D$306:D392))</f>
        <v>79</v>
      </c>
      <c r="B392" s="17" t="s">
        <v>958</v>
      </c>
      <c r="C392" s="90" t="s">
        <v>402</v>
      </c>
      <c r="D392" s="43">
        <v>1980</v>
      </c>
      <c r="E392" s="16">
        <v>5177.5</v>
      </c>
      <c r="F392" s="16">
        <v>3832.9</v>
      </c>
      <c r="G392" s="16">
        <v>0</v>
      </c>
      <c r="H392" s="17" t="s">
        <v>255</v>
      </c>
      <c r="I392" s="15">
        <v>2</v>
      </c>
      <c r="J392" s="16"/>
      <c r="K392" s="16"/>
      <c r="L392" s="16"/>
      <c r="M392" s="16"/>
      <c r="N392" s="16"/>
      <c r="O392" s="16">
        <f t="shared" si="84"/>
        <v>5800000</v>
      </c>
      <c r="P392" s="16"/>
      <c r="Q392" s="16"/>
      <c r="R392" s="16"/>
      <c r="S392" s="16"/>
      <c r="T392" s="16">
        <f t="shared" si="85"/>
        <v>248520</v>
      </c>
      <c r="U392" s="15"/>
      <c r="V392" s="19">
        <f t="shared" si="79"/>
        <v>6048520</v>
      </c>
      <c r="W392" s="20" t="s">
        <v>1174</v>
      </c>
      <c r="X392" s="37">
        <v>0</v>
      </c>
      <c r="Y392" s="37">
        <v>0</v>
      </c>
      <c r="Z392" s="79">
        <v>0</v>
      </c>
      <c r="AA392" s="19">
        <f t="shared" si="86"/>
        <v>6048520</v>
      </c>
    </row>
    <row r="393" spans="1:27" s="12" customFormat="1" ht="93.75" customHeight="1" x14ac:dyDescent="0.25">
      <c r="A393" s="17">
        <f>IF(OR(D393=0,D393=""),"",COUNTA($D$306:D393))</f>
        <v>80</v>
      </c>
      <c r="B393" s="17" t="s">
        <v>719</v>
      </c>
      <c r="C393" s="90" t="s">
        <v>51</v>
      </c>
      <c r="D393" s="43">
        <v>1987</v>
      </c>
      <c r="E393" s="16">
        <v>8575.7999999999993</v>
      </c>
      <c r="F393" s="16">
        <v>5789</v>
      </c>
      <c r="G393" s="16">
        <v>0</v>
      </c>
      <c r="H393" s="17" t="s">
        <v>255</v>
      </c>
      <c r="I393" s="15">
        <v>3</v>
      </c>
      <c r="J393" s="16"/>
      <c r="K393" s="16"/>
      <c r="L393" s="16"/>
      <c r="M393" s="16"/>
      <c r="N393" s="16"/>
      <c r="O393" s="16">
        <f t="shared" si="84"/>
        <v>8700000</v>
      </c>
      <c r="P393" s="16"/>
      <c r="Q393" s="16"/>
      <c r="R393" s="16"/>
      <c r="S393" s="16"/>
      <c r="T393" s="16">
        <f t="shared" si="85"/>
        <v>411638.39999999997</v>
      </c>
      <c r="U393" s="15"/>
      <c r="V393" s="19">
        <f t="shared" si="79"/>
        <v>9111638.4000000004</v>
      </c>
      <c r="W393" s="20" t="s">
        <v>1174</v>
      </c>
      <c r="X393" s="37">
        <v>0</v>
      </c>
      <c r="Y393" s="37">
        <v>0</v>
      </c>
      <c r="Z393" s="79">
        <v>0</v>
      </c>
      <c r="AA393" s="19">
        <f t="shared" si="86"/>
        <v>9111638.4000000004</v>
      </c>
    </row>
    <row r="394" spans="1:27" s="12" customFormat="1" ht="93.75" customHeight="1" x14ac:dyDescent="0.25">
      <c r="A394" s="17">
        <f>IF(OR(D394=0,D394=""),"",COUNTA($D$306:D394))</f>
        <v>81</v>
      </c>
      <c r="B394" s="17" t="s">
        <v>814</v>
      </c>
      <c r="C394" s="90" t="s">
        <v>370</v>
      </c>
      <c r="D394" s="43">
        <v>1973</v>
      </c>
      <c r="E394" s="16">
        <v>2433.6999999999998</v>
      </c>
      <c r="F394" s="16">
        <v>1845.5</v>
      </c>
      <c r="G394" s="16">
        <v>0</v>
      </c>
      <c r="H394" s="17" t="s">
        <v>257</v>
      </c>
      <c r="I394" s="15"/>
      <c r="J394" s="16"/>
      <c r="K394" s="16"/>
      <c r="L394" s="16"/>
      <c r="M394" s="16"/>
      <c r="N394" s="16"/>
      <c r="O394" s="16"/>
      <c r="P394" s="16"/>
      <c r="Q394" s="16"/>
      <c r="R394" s="16">
        <f>E394*2694</f>
        <v>6556387.7999999998</v>
      </c>
      <c r="S394" s="16"/>
      <c r="T394" s="16"/>
      <c r="U394" s="15"/>
      <c r="V394" s="19">
        <f t="shared" si="79"/>
        <v>6556387.7999999998</v>
      </c>
      <c r="W394" s="20" t="s">
        <v>1174</v>
      </c>
      <c r="X394" s="37">
        <v>0</v>
      </c>
      <c r="Y394" s="37">
        <v>0</v>
      </c>
      <c r="Z394" s="79">
        <v>0</v>
      </c>
      <c r="AA394" s="19">
        <f t="shared" si="86"/>
        <v>6556387.7999999998</v>
      </c>
    </row>
    <row r="395" spans="1:27" s="12" customFormat="1" ht="93.75" customHeight="1" x14ac:dyDescent="0.25">
      <c r="A395" s="17">
        <f>IF(OR(D395=0,D395=""),"",COUNTA($D$306:D395))</f>
        <v>82</v>
      </c>
      <c r="B395" s="17" t="s">
        <v>735</v>
      </c>
      <c r="C395" s="90" t="s">
        <v>63</v>
      </c>
      <c r="D395" s="43">
        <v>1988</v>
      </c>
      <c r="E395" s="16">
        <v>7386.6</v>
      </c>
      <c r="F395" s="16">
        <v>4961.6000000000004</v>
      </c>
      <c r="G395" s="16">
        <v>0</v>
      </c>
      <c r="H395" s="17" t="s">
        <v>255</v>
      </c>
      <c r="I395" s="15">
        <v>1</v>
      </c>
      <c r="J395" s="16"/>
      <c r="K395" s="16"/>
      <c r="L395" s="16"/>
      <c r="M395" s="16"/>
      <c r="N395" s="16"/>
      <c r="O395" s="16">
        <f t="shared" si="84"/>
        <v>2900000</v>
      </c>
      <c r="P395" s="16"/>
      <c r="Q395" s="16"/>
      <c r="R395" s="16"/>
      <c r="S395" s="16"/>
      <c r="T395" s="16">
        <f>48*E395</f>
        <v>354556.80000000005</v>
      </c>
      <c r="U395" s="15"/>
      <c r="V395" s="19">
        <f t="shared" si="79"/>
        <v>3254556.8</v>
      </c>
      <c r="W395" s="20" t="s">
        <v>1174</v>
      </c>
      <c r="X395" s="37">
        <v>0</v>
      </c>
      <c r="Y395" s="37">
        <v>0</v>
      </c>
      <c r="Z395" s="79">
        <v>0</v>
      </c>
      <c r="AA395" s="19">
        <f t="shared" si="86"/>
        <v>3254556.8</v>
      </c>
    </row>
    <row r="396" spans="1:27" s="12" customFormat="1" ht="93.75" customHeight="1" x14ac:dyDescent="0.25">
      <c r="A396" s="17">
        <f>IF(OR(D396=0,D396=""),"",COUNTA($D$306:D396))</f>
        <v>83</v>
      </c>
      <c r="B396" s="17" t="s">
        <v>739</v>
      </c>
      <c r="C396" s="90" t="s">
        <v>66</v>
      </c>
      <c r="D396" s="43">
        <v>1988</v>
      </c>
      <c r="E396" s="16">
        <v>7570</v>
      </c>
      <c r="F396" s="16">
        <v>5631.2</v>
      </c>
      <c r="G396" s="16">
        <v>100.2</v>
      </c>
      <c r="H396" s="17" t="s">
        <v>255</v>
      </c>
      <c r="I396" s="15">
        <v>3</v>
      </c>
      <c r="J396" s="16"/>
      <c r="K396" s="16"/>
      <c r="L396" s="16"/>
      <c r="M396" s="16"/>
      <c r="N396" s="16"/>
      <c r="O396" s="16">
        <f t="shared" si="84"/>
        <v>8700000</v>
      </c>
      <c r="P396" s="16"/>
      <c r="Q396" s="16"/>
      <c r="R396" s="16"/>
      <c r="S396" s="16"/>
      <c r="T396" s="16">
        <f>48*E396</f>
        <v>363360</v>
      </c>
      <c r="U396" s="15"/>
      <c r="V396" s="19">
        <f t="shared" si="79"/>
        <v>9063360</v>
      </c>
      <c r="W396" s="20" t="s">
        <v>1174</v>
      </c>
      <c r="X396" s="37">
        <v>0</v>
      </c>
      <c r="Y396" s="37">
        <v>0</v>
      </c>
      <c r="Z396" s="79">
        <v>0</v>
      </c>
      <c r="AA396" s="19">
        <f t="shared" si="86"/>
        <v>9063360</v>
      </c>
    </row>
    <row r="397" spans="1:27" s="12" customFormat="1" ht="93.75" customHeight="1" x14ac:dyDescent="0.25">
      <c r="A397" s="17">
        <f>IF(OR(D397=0,D397=""),"",COUNTA($D$306:D397))</f>
        <v>84</v>
      </c>
      <c r="B397" s="17" t="s">
        <v>748</v>
      </c>
      <c r="C397" s="90" t="s">
        <v>604</v>
      </c>
      <c r="D397" s="43">
        <v>1985</v>
      </c>
      <c r="E397" s="16">
        <v>22476.2</v>
      </c>
      <c r="F397" s="16">
        <v>15334.9</v>
      </c>
      <c r="G397" s="16">
        <v>0</v>
      </c>
      <c r="H397" s="17" t="s">
        <v>255</v>
      </c>
      <c r="I397" s="15">
        <v>8</v>
      </c>
      <c r="J397" s="16"/>
      <c r="K397" s="16"/>
      <c r="L397" s="16"/>
      <c r="M397" s="16"/>
      <c r="N397" s="16"/>
      <c r="O397" s="16">
        <f t="shared" si="84"/>
        <v>23200000</v>
      </c>
      <c r="P397" s="16"/>
      <c r="Q397" s="16"/>
      <c r="R397" s="16"/>
      <c r="S397" s="16"/>
      <c r="T397" s="16">
        <f>48*E397</f>
        <v>1078857.6000000001</v>
      </c>
      <c r="U397" s="15"/>
      <c r="V397" s="19">
        <f t="shared" si="79"/>
        <v>24278857.600000001</v>
      </c>
      <c r="W397" s="20" t="s">
        <v>1174</v>
      </c>
      <c r="X397" s="37">
        <v>0</v>
      </c>
      <c r="Y397" s="37">
        <v>0</v>
      </c>
      <c r="Z397" s="79">
        <v>0</v>
      </c>
      <c r="AA397" s="19">
        <f t="shared" si="86"/>
        <v>24278857.600000001</v>
      </c>
    </row>
    <row r="398" spans="1:27" s="12" customFormat="1" ht="93.75" customHeight="1" x14ac:dyDescent="0.25">
      <c r="A398" s="17">
        <f>IF(OR(D398=0,D398=""),"",COUNTA($D$306:D398))</f>
        <v>85</v>
      </c>
      <c r="B398" s="17" t="s">
        <v>752</v>
      </c>
      <c r="C398" s="90" t="s">
        <v>68</v>
      </c>
      <c r="D398" s="43">
        <v>1987</v>
      </c>
      <c r="E398" s="16">
        <v>6044.4</v>
      </c>
      <c r="F398" s="16">
        <v>3761</v>
      </c>
      <c r="G398" s="16">
        <v>0</v>
      </c>
      <c r="H398" s="17" t="s">
        <v>251</v>
      </c>
      <c r="I398" s="15">
        <v>2</v>
      </c>
      <c r="J398" s="16"/>
      <c r="K398" s="16"/>
      <c r="L398" s="16"/>
      <c r="M398" s="16"/>
      <c r="N398" s="16"/>
      <c r="O398" s="16">
        <f>3100000+3400000</f>
        <v>6500000</v>
      </c>
      <c r="P398" s="16"/>
      <c r="Q398" s="16"/>
      <c r="R398" s="16"/>
      <c r="S398" s="16"/>
      <c r="T398" s="16">
        <f>68*E398</f>
        <v>411019.19999999995</v>
      </c>
      <c r="U398" s="15"/>
      <c r="V398" s="19">
        <f t="shared" si="79"/>
        <v>6911019.2000000002</v>
      </c>
      <c r="W398" s="20" t="s">
        <v>1174</v>
      </c>
      <c r="X398" s="37">
        <v>0</v>
      </c>
      <c r="Y398" s="37">
        <v>0</v>
      </c>
      <c r="Z398" s="79">
        <v>0</v>
      </c>
      <c r="AA398" s="19">
        <f t="shared" si="86"/>
        <v>6911019.2000000002</v>
      </c>
    </row>
    <row r="399" spans="1:27" s="12" customFormat="1" ht="93.75" customHeight="1" x14ac:dyDescent="0.25">
      <c r="A399" s="17">
        <f>IF(OR(D399=0,D399=""),"",COUNTA($D$306:D399))</f>
        <v>86</v>
      </c>
      <c r="B399" s="17" t="s">
        <v>760</v>
      </c>
      <c r="C399" s="90" t="s">
        <v>73</v>
      </c>
      <c r="D399" s="43">
        <v>1988</v>
      </c>
      <c r="E399" s="16">
        <v>4864.1000000000004</v>
      </c>
      <c r="F399" s="16">
        <v>3866.7</v>
      </c>
      <c r="G399" s="16">
        <v>395.4</v>
      </c>
      <c r="H399" s="17" t="s">
        <v>255</v>
      </c>
      <c r="I399" s="15">
        <v>1</v>
      </c>
      <c r="J399" s="16"/>
      <c r="K399" s="16"/>
      <c r="L399" s="16"/>
      <c r="M399" s="16"/>
      <c r="N399" s="16"/>
      <c r="O399" s="16">
        <f t="shared" ref="O399:O417" si="87">2900000*I399</f>
        <v>2900000</v>
      </c>
      <c r="P399" s="16"/>
      <c r="Q399" s="16"/>
      <c r="R399" s="16"/>
      <c r="S399" s="16"/>
      <c r="T399" s="16">
        <f t="shared" ref="T399:T417" si="88">48*E399</f>
        <v>233476.80000000002</v>
      </c>
      <c r="U399" s="15"/>
      <c r="V399" s="19">
        <f t="shared" si="79"/>
        <v>3133476.8</v>
      </c>
      <c r="W399" s="20" t="s">
        <v>1174</v>
      </c>
      <c r="X399" s="37">
        <v>0</v>
      </c>
      <c r="Y399" s="37">
        <v>0</v>
      </c>
      <c r="Z399" s="79">
        <v>0</v>
      </c>
      <c r="AA399" s="19">
        <f t="shared" si="86"/>
        <v>3133476.8</v>
      </c>
    </row>
    <row r="400" spans="1:27" s="12" customFormat="1" ht="93.75" customHeight="1" x14ac:dyDescent="0.25">
      <c r="A400" s="17">
        <f>IF(OR(D400=0,D400=""),"",COUNTA($D$306:D400))</f>
        <v>87</v>
      </c>
      <c r="B400" s="17" t="s">
        <v>818</v>
      </c>
      <c r="C400" s="90" t="s">
        <v>475</v>
      </c>
      <c r="D400" s="43">
        <v>1984</v>
      </c>
      <c r="E400" s="16">
        <v>16353.5</v>
      </c>
      <c r="F400" s="16">
        <v>11440.7</v>
      </c>
      <c r="G400" s="16">
        <v>1858.3</v>
      </c>
      <c r="H400" s="17" t="s">
        <v>255</v>
      </c>
      <c r="I400" s="15">
        <v>3</v>
      </c>
      <c r="J400" s="16"/>
      <c r="K400" s="16"/>
      <c r="L400" s="16"/>
      <c r="M400" s="16"/>
      <c r="N400" s="16"/>
      <c r="O400" s="16">
        <f t="shared" si="87"/>
        <v>8700000</v>
      </c>
      <c r="P400" s="16"/>
      <c r="Q400" s="16"/>
      <c r="R400" s="16"/>
      <c r="S400" s="16"/>
      <c r="T400" s="16">
        <f t="shared" si="88"/>
        <v>784968</v>
      </c>
      <c r="U400" s="15"/>
      <c r="V400" s="19">
        <f t="shared" si="79"/>
        <v>9484968</v>
      </c>
      <c r="W400" s="20" t="s">
        <v>1174</v>
      </c>
      <c r="X400" s="37">
        <v>0</v>
      </c>
      <c r="Y400" s="37">
        <v>0</v>
      </c>
      <c r="Z400" s="79">
        <v>0</v>
      </c>
      <c r="AA400" s="19">
        <f t="shared" si="86"/>
        <v>9484968</v>
      </c>
    </row>
    <row r="401" spans="1:27" s="12" customFormat="1" ht="93.75" customHeight="1" x14ac:dyDescent="0.25">
      <c r="A401" s="17">
        <f>IF(OR(D401=0,D401=""),"",COUNTA($D$306:D401))</f>
        <v>88</v>
      </c>
      <c r="B401" s="17" t="s">
        <v>1167</v>
      </c>
      <c r="C401" s="90" t="s">
        <v>106</v>
      </c>
      <c r="D401" s="43">
        <v>1984</v>
      </c>
      <c r="E401" s="16">
        <v>16353.5</v>
      </c>
      <c r="F401" s="16">
        <v>11440.4</v>
      </c>
      <c r="G401" s="16">
        <v>2734.6</v>
      </c>
      <c r="H401" s="17" t="s">
        <v>255</v>
      </c>
      <c r="I401" s="15">
        <v>2</v>
      </c>
      <c r="J401" s="16"/>
      <c r="K401" s="16"/>
      <c r="L401" s="16"/>
      <c r="M401" s="16"/>
      <c r="N401" s="16"/>
      <c r="O401" s="16">
        <f t="shared" si="87"/>
        <v>5800000</v>
      </c>
      <c r="P401" s="16"/>
      <c r="Q401" s="16"/>
      <c r="R401" s="16"/>
      <c r="S401" s="16"/>
      <c r="T401" s="16">
        <f t="shared" si="88"/>
        <v>784968</v>
      </c>
      <c r="U401" s="15"/>
      <c r="V401" s="19">
        <f t="shared" si="79"/>
        <v>6584968</v>
      </c>
      <c r="W401" s="20" t="s">
        <v>1174</v>
      </c>
      <c r="X401" s="37">
        <v>0</v>
      </c>
      <c r="Y401" s="37">
        <v>0</v>
      </c>
      <c r="Z401" s="79">
        <v>0</v>
      </c>
      <c r="AA401" s="19">
        <f t="shared" si="86"/>
        <v>6584968</v>
      </c>
    </row>
    <row r="402" spans="1:27" s="12" customFormat="1" ht="93.75" customHeight="1" x14ac:dyDescent="0.25">
      <c r="A402" s="17">
        <f>IF(OR(D402=0,D402=""),"",COUNTA($D$306:D402))</f>
        <v>89</v>
      </c>
      <c r="B402" s="17" t="s">
        <v>823</v>
      </c>
      <c r="C402" s="90" t="s">
        <v>110</v>
      </c>
      <c r="D402" s="43">
        <v>1988</v>
      </c>
      <c r="E402" s="16">
        <v>8908.2999999999993</v>
      </c>
      <c r="F402" s="16">
        <v>7604</v>
      </c>
      <c r="G402" s="16">
        <v>0</v>
      </c>
      <c r="H402" s="17" t="s">
        <v>255</v>
      </c>
      <c r="I402" s="15">
        <v>4</v>
      </c>
      <c r="J402" s="16"/>
      <c r="K402" s="16"/>
      <c r="L402" s="16"/>
      <c r="M402" s="16"/>
      <c r="N402" s="16"/>
      <c r="O402" s="16">
        <f t="shared" si="87"/>
        <v>11600000</v>
      </c>
      <c r="P402" s="16"/>
      <c r="Q402" s="16"/>
      <c r="R402" s="16"/>
      <c r="S402" s="16"/>
      <c r="T402" s="16">
        <f t="shared" si="88"/>
        <v>427598.39999999997</v>
      </c>
      <c r="U402" s="15"/>
      <c r="V402" s="19">
        <f t="shared" si="79"/>
        <v>12027598.4</v>
      </c>
      <c r="W402" s="20" t="s">
        <v>1174</v>
      </c>
      <c r="X402" s="37">
        <v>0</v>
      </c>
      <c r="Y402" s="37">
        <v>0</v>
      </c>
      <c r="Z402" s="79">
        <v>0</v>
      </c>
      <c r="AA402" s="19">
        <f t="shared" si="86"/>
        <v>12027598.4</v>
      </c>
    </row>
    <row r="403" spans="1:27" s="12" customFormat="1" ht="93.75" customHeight="1" x14ac:dyDescent="0.25">
      <c r="A403" s="17">
        <f>IF(OR(D403=0,D403=""),"",COUNTA($D$306:D403))</f>
        <v>90</v>
      </c>
      <c r="B403" s="17" t="s">
        <v>850</v>
      </c>
      <c r="C403" s="90" t="s">
        <v>131</v>
      </c>
      <c r="D403" s="43">
        <v>1988</v>
      </c>
      <c r="E403" s="16">
        <v>12599.6</v>
      </c>
      <c r="F403" s="16">
        <v>10449.6</v>
      </c>
      <c r="G403" s="16">
        <v>0</v>
      </c>
      <c r="H403" s="17" t="s">
        <v>255</v>
      </c>
      <c r="I403" s="15">
        <v>5</v>
      </c>
      <c r="J403" s="16"/>
      <c r="K403" s="16">
        <f>854*E403</f>
        <v>10760058.4</v>
      </c>
      <c r="L403" s="16"/>
      <c r="M403" s="16">
        <f>E403*209</f>
        <v>2633316.4</v>
      </c>
      <c r="N403" s="16"/>
      <c r="O403" s="16">
        <f t="shared" si="87"/>
        <v>14500000</v>
      </c>
      <c r="P403" s="16"/>
      <c r="Q403" s="16"/>
      <c r="R403" s="16"/>
      <c r="S403" s="16"/>
      <c r="T403" s="16">
        <f t="shared" si="88"/>
        <v>604780.80000000005</v>
      </c>
      <c r="U403" s="15"/>
      <c r="V403" s="19">
        <f t="shared" si="79"/>
        <v>28498155.600000001</v>
      </c>
      <c r="W403" s="20" t="s">
        <v>1174</v>
      </c>
      <c r="X403" s="37">
        <v>2680807.7000000002</v>
      </c>
      <c r="Y403" s="37">
        <v>0</v>
      </c>
      <c r="Z403" s="79">
        <v>0</v>
      </c>
      <c r="AA403" s="19">
        <f t="shared" si="86"/>
        <v>25817347.900000002</v>
      </c>
    </row>
    <row r="404" spans="1:27" s="12" customFormat="1" ht="93.75" customHeight="1" x14ac:dyDescent="0.25">
      <c r="A404" s="17">
        <f>IF(OR(D404=0,D404=""),"",COUNTA($D$306:D404))</f>
        <v>91</v>
      </c>
      <c r="B404" s="17" t="s">
        <v>851</v>
      </c>
      <c r="C404" s="90" t="s">
        <v>132</v>
      </c>
      <c r="D404" s="43">
        <v>1989</v>
      </c>
      <c r="E404" s="16">
        <v>7723</v>
      </c>
      <c r="F404" s="16">
        <v>4728.5</v>
      </c>
      <c r="G404" s="16">
        <v>144</v>
      </c>
      <c r="H404" s="17" t="s">
        <v>255</v>
      </c>
      <c r="I404" s="15">
        <v>4</v>
      </c>
      <c r="J404" s="16"/>
      <c r="K404" s="16"/>
      <c r="L404" s="16"/>
      <c r="M404" s="16"/>
      <c r="N404" s="16"/>
      <c r="O404" s="16">
        <f t="shared" si="87"/>
        <v>11600000</v>
      </c>
      <c r="P404" s="16"/>
      <c r="Q404" s="16"/>
      <c r="R404" s="16"/>
      <c r="S404" s="16"/>
      <c r="T404" s="16">
        <f t="shared" si="88"/>
        <v>370704</v>
      </c>
      <c r="U404" s="15"/>
      <c r="V404" s="19">
        <f t="shared" si="79"/>
        <v>11970704</v>
      </c>
      <c r="W404" s="20" t="s">
        <v>1174</v>
      </c>
      <c r="X404" s="37">
        <v>0</v>
      </c>
      <c r="Y404" s="37">
        <v>0</v>
      </c>
      <c r="Z404" s="79">
        <v>0</v>
      </c>
      <c r="AA404" s="19">
        <f t="shared" si="86"/>
        <v>11970704</v>
      </c>
    </row>
    <row r="405" spans="1:27" s="12" customFormat="1" ht="93.75" customHeight="1" x14ac:dyDescent="0.25">
      <c r="A405" s="17">
        <f>IF(OR(D405=0,D405=""),"",COUNTA($D$306:D405))</f>
        <v>92</v>
      </c>
      <c r="B405" s="17" t="s">
        <v>852</v>
      </c>
      <c r="C405" s="90" t="s">
        <v>133</v>
      </c>
      <c r="D405" s="43">
        <v>1988</v>
      </c>
      <c r="E405" s="16">
        <v>7478.3</v>
      </c>
      <c r="F405" s="16">
        <v>5788.2</v>
      </c>
      <c r="G405" s="16">
        <v>0</v>
      </c>
      <c r="H405" s="17" t="s">
        <v>255</v>
      </c>
      <c r="I405" s="15">
        <v>3</v>
      </c>
      <c r="J405" s="16"/>
      <c r="K405" s="16"/>
      <c r="L405" s="16"/>
      <c r="M405" s="16"/>
      <c r="N405" s="16"/>
      <c r="O405" s="16">
        <f t="shared" si="87"/>
        <v>8700000</v>
      </c>
      <c r="P405" s="16"/>
      <c r="Q405" s="16"/>
      <c r="R405" s="16"/>
      <c r="S405" s="16"/>
      <c r="T405" s="16">
        <f t="shared" si="88"/>
        <v>358958.4</v>
      </c>
      <c r="U405" s="15"/>
      <c r="V405" s="19">
        <f t="shared" si="79"/>
        <v>9058958.4000000004</v>
      </c>
      <c r="W405" s="20" t="s">
        <v>1174</v>
      </c>
      <c r="X405" s="37">
        <v>0</v>
      </c>
      <c r="Y405" s="37">
        <v>0</v>
      </c>
      <c r="Z405" s="79">
        <v>0</v>
      </c>
      <c r="AA405" s="19">
        <f t="shared" si="86"/>
        <v>9058958.4000000004</v>
      </c>
    </row>
    <row r="406" spans="1:27" s="12" customFormat="1" ht="93.75" customHeight="1" x14ac:dyDescent="0.25">
      <c r="A406" s="17">
        <f>IF(OR(D406=0,D406=""),"",COUNTA($D$306:D406))</f>
        <v>93</v>
      </c>
      <c r="B406" s="17" t="s">
        <v>860</v>
      </c>
      <c r="C406" s="90" t="s">
        <v>139</v>
      </c>
      <c r="D406" s="43">
        <v>1987</v>
      </c>
      <c r="E406" s="16">
        <v>4302.7</v>
      </c>
      <c r="F406" s="16">
        <v>3664</v>
      </c>
      <c r="G406" s="16">
        <v>638.70000000000005</v>
      </c>
      <c r="H406" s="17" t="s">
        <v>255</v>
      </c>
      <c r="I406" s="15">
        <v>2</v>
      </c>
      <c r="J406" s="16"/>
      <c r="K406" s="16"/>
      <c r="L406" s="16"/>
      <c r="M406" s="16"/>
      <c r="N406" s="16"/>
      <c r="O406" s="16">
        <f t="shared" si="87"/>
        <v>5800000</v>
      </c>
      <c r="P406" s="16"/>
      <c r="Q406" s="16"/>
      <c r="R406" s="16"/>
      <c r="S406" s="16"/>
      <c r="T406" s="16">
        <f t="shared" si="88"/>
        <v>206529.59999999998</v>
      </c>
      <c r="U406" s="15"/>
      <c r="V406" s="19">
        <f t="shared" si="79"/>
        <v>6006529.5999999996</v>
      </c>
      <c r="W406" s="20" t="s">
        <v>1174</v>
      </c>
      <c r="X406" s="37">
        <v>0</v>
      </c>
      <c r="Y406" s="37">
        <v>0</v>
      </c>
      <c r="Z406" s="79">
        <v>0</v>
      </c>
      <c r="AA406" s="19">
        <f t="shared" si="86"/>
        <v>6006529.5999999996</v>
      </c>
    </row>
    <row r="407" spans="1:27" s="12" customFormat="1" ht="93.75" customHeight="1" x14ac:dyDescent="0.25">
      <c r="A407" s="17">
        <f>IF(OR(D407=0,D407=""),"",COUNTA($D$306:D407))</f>
        <v>94</v>
      </c>
      <c r="B407" s="17" t="s">
        <v>919</v>
      </c>
      <c r="C407" s="90" t="s">
        <v>166</v>
      </c>
      <c r="D407" s="43">
        <v>1987</v>
      </c>
      <c r="E407" s="16">
        <v>5537.4</v>
      </c>
      <c r="F407" s="16">
        <v>3851.5</v>
      </c>
      <c r="G407" s="16">
        <v>0</v>
      </c>
      <c r="H407" s="17" t="s">
        <v>255</v>
      </c>
      <c r="I407" s="15">
        <v>2</v>
      </c>
      <c r="J407" s="16"/>
      <c r="K407" s="16"/>
      <c r="L407" s="16"/>
      <c r="M407" s="16"/>
      <c r="N407" s="16"/>
      <c r="O407" s="16">
        <f t="shared" si="87"/>
        <v>5800000</v>
      </c>
      <c r="P407" s="16"/>
      <c r="Q407" s="16"/>
      <c r="R407" s="16"/>
      <c r="S407" s="16"/>
      <c r="T407" s="16">
        <f t="shared" si="88"/>
        <v>265795.19999999995</v>
      </c>
      <c r="U407" s="15"/>
      <c r="V407" s="19">
        <f t="shared" si="79"/>
        <v>6065795.2000000002</v>
      </c>
      <c r="W407" s="20" t="s">
        <v>1174</v>
      </c>
      <c r="X407" s="37">
        <v>0</v>
      </c>
      <c r="Y407" s="37">
        <v>0</v>
      </c>
      <c r="Z407" s="79">
        <v>0</v>
      </c>
      <c r="AA407" s="19">
        <f t="shared" si="86"/>
        <v>6065795.2000000002</v>
      </c>
    </row>
    <row r="408" spans="1:27" s="12" customFormat="1" ht="93.75" customHeight="1" x14ac:dyDescent="0.25">
      <c r="A408" s="17">
        <f>IF(OR(D408=0,D408=""),"",COUNTA($D$306:D408))</f>
        <v>95</v>
      </c>
      <c r="B408" s="17" t="s">
        <v>920</v>
      </c>
      <c r="C408" s="90" t="s">
        <v>167</v>
      </c>
      <c r="D408" s="43">
        <v>1987</v>
      </c>
      <c r="E408" s="16">
        <v>19790.04</v>
      </c>
      <c r="F408" s="16">
        <v>13369.54</v>
      </c>
      <c r="G408" s="16">
        <v>0</v>
      </c>
      <c r="H408" s="17" t="s">
        <v>255</v>
      </c>
      <c r="I408" s="15">
        <v>7</v>
      </c>
      <c r="J408" s="16"/>
      <c r="K408" s="16"/>
      <c r="L408" s="16"/>
      <c r="M408" s="16"/>
      <c r="N408" s="16"/>
      <c r="O408" s="16">
        <f t="shared" si="87"/>
        <v>20300000</v>
      </c>
      <c r="P408" s="16"/>
      <c r="Q408" s="16"/>
      <c r="R408" s="16"/>
      <c r="S408" s="16"/>
      <c r="T408" s="16">
        <f t="shared" si="88"/>
        <v>949921.92</v>
      </c>
      <c r="U408" s="15"/>
      <c r="V408" s="19">
        <f t="shared" si="79"/>
        <v>21249921.920000002</v>
      </c>
      <c r="W408" s="20" t="s">
        <v>1174</v>
      </c>
      <c r="X408" s="37">
        <v>0</v>
      </c>
      <c r="Y408" s="37">
        <v>0</v>
      </c>
      <c r="Z408" s="79">
        <v>0</v>
      </c>
      <c r="AA408" s="19">
        <f t="shared" si="86"/>
        <v>21249921.920000002</v>
      </c>
    </row>
    <row r="409" spans="1:27" s="12" customFormat="1" ht="93.75" customHeight="1" x14ac:dyDescent="0.25">
      <c r="A409" s="17">
        <f>IF(OR(D409=0,D409=""),"",COUNTA($D$306:D409))</f>
        <v>96</v>
      </c>
      <c r="B409" s="17" t="s">
        <v>965</v>
      </c>
      <c r="C409" s="90" t="s">
        <v>183</v>
      </c>
      <c r="D409" s="43">
        <v>1987</v>
      </c>
      <c r="E409" s="16">
        <v>4640.8999999999996</v>
      </c>
      <c r="F409" s="16">
        <v>3438.5</v>
      </c>
      <c r="G409" s="16">
        <v>0</v>
      </c>
      <c r="H409" s="17" t="s">
        <v>255</v>
      </c>
      <c r="I409" s="15">
        <v>1</v>
      </c>
      <c r="J409" s="16"/>
      <c r="K409" s="16"/>
      <c r="L409" s="16"/>
      <c r="M409" s="16"/>
      <c r="N409" s="16"/>
      <c r="O409" s="16">
        <f t="shared" si="87"/>
        <v>2900000</v>
      </c>
      <c r="P409" s="16"/>
      <c r="Q409" s="16"/>
      <c r="R409" s="16"/>
      <c r="S409" s="16"/>
      <c r="T409" s="16">
        <f t="shared" si="88"/>
        <v>222763.19999999998</v>
      </c>
      <c r="U409" s="15"/>
      <c r="V409" s="19">
        <f t="shared" si="79"/>
        <v>3122763.2</v>
      </c>
      <c r="W409" s="20" t="s">
        <v>1174</v>
      </c>
      <c r="X409" s="37">
        <v>0</v>
      </c>
      <c r="Y409" s="37">
        <v>0</v>
      </c>
      <c r="Z409" s="79">
        <v>0</v>
      </c>
      <c r="AA409" s="19">
        <f t="shared" si="86"/>
        <v>3122763.2</v>
      </c>
    </row>
    <row r="410" spans="1:27" s="12" customFormat="1" ht="93.75" customHeight="1" x14ac:dyDescent="0.25">
      <c r="A410" s="17">
        <f>IF(OR(D410=0,D410=""),"",COUNTA($D$306:D410))</f>
        <v>97</v>
      </c>
      <c r="B410" s="17" t="s">
        <v>1011</v>
      </c>
      <c r="C410" s="90" t="s">
        <v>201</v>
      </c>
      <c r="D410" s="43">
        <v>1987</v>
      </c>
      <c r="E410" s="16">
        <v>5554.3</v>
      </c>
      <c r="F410" s="16">
        <v>3848.4</v>
      </c>
      <c r="G410" s="16">
        <v>0</v>
      </c>
      <c r="H410" s="17" t="s">
        <v>255</v>
      </c>
      <c r="I410" s="15">
        <v>2</v>
      </c>
      <c r="J410" s="16"/>
      <c r="K410" s="16"/>
      <c r="L410" s="16"/>
      <c r="M410" s="16"/>
      <c r="N410" s="16"/>
      <c r="O410" s="16">
        <f t="shared" si="87"/>
        <v>5800000</v>
      </c>
      <c r="P410" s="16"/>
      <c r="Q410" s="16"/>
      <c r="R410" s="16"/>
      <c r="S410" s="16"/>
      <c r="T410" s="16">
        <f t="shared" si="88"/>
        <v>266606.40000000002</v>
      </c>
      <c r="U410" s="15"/>
      <c r="V410" s="19">
        <f t="shared" si="79"/>
        <v>6066606.4000000004</v>
      </c>
      <c r="W410" s="20" t="s">
        <v>1174</v>
      </c>
      <c r="X410" s="37">
        <v>0</v>
      </c>
      <c r="Y410" s="37">
        <v>0</v>
      </c>
      <c r="Z410" s="79">
        <v>0</v>
      </c>
      <c r="AA410" s="19">
        <f t="shared" si="86"/>
        <v>6066606.4000000004</v>
      </c>
    </row>
    <row r="411" spans="1:27" s="12" customFormat="1" ht="93.75" customHeight="1" x14ac:dyDescent="0.25">
      <c r="A411" s="17">
        <f>IF(OR(D411=0,D411=""),"",COUNTA($D$306:D411))</f>
        <v>98</v>
      </c>
      <c r="B411" s="17" t="s">
        <v>1015</v>
      </c>
      <c r="C411" s="90" t="s">
        <v>203</v>
      </c>
      <c r="D411" s="43">
        <v>1989</v>
      </c>
      <c r="E411" s="16">
        <v>20137</v>
      </c>
      <c r="F411" s="16">
        <v>15708.5</v>
      </c>
      <c r="G411" s="16">
        <v>0</v>
      </c>
      <c r="H411" s="17" t="s">
        <v>255</v>
      </c>
      <c r="I411" s="15">
        <v>8</v>
      </c>
      <c r="J411" s="16"/>
      <c r="K411" s="16"/>
      <c r="L411" s="16"/>
      <c r="M411" s="16"/>
      <c r="N411" s="16"/>
      <c r="O411" s="16">
        <f t="shared" si="87"/>
        <v>23200000</v>
      </c>
      <c r="P411" s="16"/>
      <c r="Q411" s="16"/>
      <c r="R411" s="16"/>
      <c r="S411" s="16"/>
      <c r="T411" s="16">
        <f t="shared" si="88"/>
        <v>966576</v>
      </c>
      <c r="U411" s="15"/>
      <c r="V411" s="19">
        <f t="shared" si="79"/>
        <v>24166576</v>
      </c>
      <c r="W411" s="20" t="s">
        <v>1174</v>
      </c>
      <c r="X411" s="37">
        <v>0</v>
      </c>
      <c r="Y411" s="37">
        <v>0</v>
      </c>
      <c r="Z411" s="79">
        <v>0</v>
      </c>
      <c r="AA411" s="19">
        <f t="shared" si="86"/>
        <v>24166576</v>
      </c>
    </row>
    <row r="412" spans="1:27" s="12" customFormat="1" ht="93.75" customHeight="1" x14ac:dyDescent="0.25">
      <c r="A412" s="17">
        <f>IF(OR(D412=0,D412=""),"",COUNTA($D$306:D412))</f>
        <v>99</v>
      </c>
      <c r="B412" s="17" t="s">
        <v>1022</v>
      </c>
      <c r="C412" s="90" t="s">
        <v>206</v>
      </c>
      <c r="D412" s="43">
        <v>1987</v>
      </c>
      <c r="E412" s="16">
        <v>11863.7</v>
      </c>
      <c r="F412" s="16">
        <v>7863.6</v>
      </c>
      <c r="G412" s="16">
        <v>0</v>
      </c>
      <c r="H412" s="17" t="s">
        <v>255</v>
      </c>
      <c r="I412" s="15">
        <v>4</v>
      </c>
      <c r="J412" s="16"/>
      <c r="K412" s="16"/>
      <c r="L412" s="16"/>
      <c r="M412" s="16"/>
      <c r="N412" s="16"/>
      <c r="O412" s="16">
        <f t="shared" si="87"/>
        <v>11600000</v>
      </c>
      <c r="P412" s="16"/>
      <c r="Q412" s="16"/>
      <c r="R412" s="16"/>
      <c r="S412" s="16"/>
      <c r="T412" s="16">
        <f t="shared" si="88"/>
        <v>569457.60000000009</v>
      </c>
      <c r="U412" s="15"/>
      <c r="V412" s="19">
        <f t="shared" si="79"/>
        <v>12169457.6</v>
      </c>
      <c r="W412" s="20" t="s">
        <v>1174</v>
      </c>
      <c r="X412" s="37">
        <v>0</v>
      </c>
      <c r="Y412" s="37">
        <v>0</v>
      </c>
      <c r="Z412" s="79">
        <v>0</v>
      </c>
      <c r="AA412" s="19">
        <f t="shared" si="86"/>
        <v>12169457.6</v>
      </c>
    </row>
    <row r="413" spans="1:27" s="12" customFormat="1" ht="93.75" customHeight="1" x14ac:dyDescent="0.25">
      <c r="A413" s="17">
        <f>IF(OR(D413=0,D413=""),"",COUNTA($D$306:D413))</f>
        <v>100</v>
      </c>
      <c r="B413" s="17" t="s">
        <v>1023</v>
      </c>
      <c r="C413" s="90" t="s">
        <v>207</v>
      </c>
      <c r="D413" s="43">
        <v>1989</v>
      </c>
      <c r="E413" s="16">
        <v>8292.89</v>
      </c>
      <c r="F413" s="16">
        <v>5864.29</v>
      </c>
      <c r="G413" s="16">
        <v>0</v>
      </c>
      <c r="H413" s="17" t="s">
        <v>255</v>
      </c>
      <c r="I413" s="15">
        <v>3</v>
      </c>
      <c r="J413" s="16"/>
      <c r="K413" s="16"/>
      <c r="L413" s="16"/>
      <c r="M413" s="16"/>
      <c r="N413" s="16"/>
      <c r="O413" s="16">
        <f t="shared" si="87"/>
        <v>8700000</v>
      </c>
      <c r="P413" s="16"/>
      <c r="Q413" s="16"/>
      <c r="R413" s="16"/>
      <c r="S413" s="16"/>
      <c r="T413" s="16">
        <f t="shared" si="88"/>
        <v>398058.72</v>
      </c>
      <c r="U413" s="15"/>
      <c r="V413" s="19">
        <f t="shared" si="79"/>
        <v>9098058.7200000007</v>
      </c>
      <c r="W413" s="20" t="s">
        <v>1174</v>
      </c>
      <c r="X413" s="37">
        <v>0</v>
      </c>
      <c r="Y413" s="37">
        <v>0</v>
      </c>
      <c r="Z413" s="79">
        <v>0</v>
      </c>
      <c r="AA413" s="19">
        <f t="shared" si="86"/>
        <v>9098058.7200000007</v>
      </c>
    </row>
    <row r="414" spans="1:27" s="12" customFormat="1" ht="93.75" customHeight="1" x14ac:dyDescent="0.25">
      <c r="A414" s="17">
        <f>IF(OR(D414=0,D414=""),"",COUNTA($D$306:D414))</f>
        <v>101</v>
      </c>
      <c r="B414" s="17" t="s">
        <v>867</v>
      </c>
      <c r="C414" s="90" t="s">
        <v>313</v>
      </c>
      <c r="D414" s="43">
        <v>1972</v>
      </c>
      <c r="E414" s="16">
        <v>13027.1</v>
      </c>
      <c r="F414" s="16">
        <v>8366.7000000000007</v>
      </c>
      <c r="G414" s="16">
        <v>3156.4</v>
      </c>
      <c r="H414" s="17" t="s">
        <v>255</v>
      </c>
      <c r="I414" s="15">
        <v>4</v>
      </c>
      <c r="J414" s="16"/>
      <c r="K414" s="16"/>
      <c r="L414" s="23"/>
      <c r="M414" s="24"/>
      <c r="N414" s="16"/>
      <c r="O414" s="16">
        <f t="shared" si="87"/>
        <v>11600000</v>
      </c>
      <c r="P414" s="23"/>
      <c r="Q414" s="23"/>
      <c r="R414" s="23"/>
      <c r="S414" s="23"/>
      <c r="T414" s="16">
        <f t="shared" si="88"/>
        <v>625300.80000000005</v>
      </c>
      <c r="U414" s="16"/>
      <c r="V414" s="19">
        <f t="shared" ref="V414:V451" si="89">J414+K414+L414+M414+N414+O414+P414+Q414+R414+S414+T414+U414</f>
        <v>12225300.800000001</v>
      </c>
      <c r="W414" s="20" t="s">
        <v>1174</v>
      </c>
      <c r="X414" s="37">
        <v>0</v>
      </c>
      <c r="Y414" s="37">
        <v>0</v>
      </c>
      <c r="Z414" s="79">
        <v>0</v>
      </c>
      <c r="AA414" s="19">
        <f t="shared" si="86"/>
        <v>12225300.800000001</v>
      </c>
    </row>
    <row r="415" spans="1:27" s="12" customFormat="1" ht="93.75" customHeight="1" x14ac:dyDescent="0.25">
      <c r="A415" s="17">
        <f>IF(OR(D415=0,D415=""),"",COUNTA($D$306:D415))</f>
        <v>102</v>
      </c>
      <c r="B415" s="17" t="s">
        <v>923</v>
      </c>
      <c r="C415" s="90" t="s">
        <v>314</v>
      </c>
      <c r="D415" s="43">
        <v>1991</v>
      </c>
      <c r="E415" s="16">
        <v>15645.4</v>
      </c>
      <c r="F415" s="16">
        <v>12233</v>
      </c>
      <c r="G415" s="16">
        <v>135.6</v>
      </c>
      <c r="H415" s="17" t="s">
        <v>255</v>
      </c>
      <c r="I415" s="15">
        <v>6</v>
      </c>
      <c r="J415" s="16"/>
      <c r="K415" s="16"/>
      <c r="L415" s="23"/>
      <c r="M415" s="24"/>
      <c r="N415" s="16"/>
      <c r="O415" s="16">
        <f t="shared" si="87"/>
        <v>17400000</v>
      </c>
      <c r="P415" s="16"/>
      <c r="Q415" s="23"/>
      <c r="R415" s="16"/>
      <c r="S415" s="23"/>
      <c r="T415" s="16">
        <f t="shared" si="88"/>
        <v>750979.2</v>
      </c>
      <c r="U415" s="16"/>
      <c r="V415" s="19">
        <f t="shared" si="89"/>
        <v>18150979.199999999</v>
      </c>
      <c r="W415" s="20" t="s">
        <v>1174</v>
      </c>
      <c r="X415" s="37">
        <v>0</v>
      </c>
      <c r="Y415" s="37">
        <v>0</v>
      </c>
      <c r="Z415" s="79">
        <v>0</v>
      </c>
      <c r="AA415" s="19">
        <f t="shared" si="86"/>
        <v>18150979.199999999</v>
      </c>
    </row>
    <row r="416" spans="1:27" s="12" customFormat="1" ht="93.75" customHeight="1" x14ac:dyDescent="0.25">
      <c r="A416" s="17">
        <f>IF(OR(D416=0,D416=""),"",COUNTA($D$306:D416))</f>
        <v>103</v>
      </c>
      <c r="B416" s="17" t="s">
        <v>877</v>
      </c>
      <c r="C416" s="90" t="s">
        <v>324</v>
      </c>
      <c r="D416" s="43">
        <v>1988</v>
      </c>
      <c r="E416" s="16">
        <v>9670.17</v>
      </c>
      <c r="F416" s="16">
        <v>6931.87</v>
      </c>
      <c r="G416" s="16">
        <v>2738.3</v>
      </c>
      <c r="H416" s="17" t="s">
        <v>255</v>
      </c>
      <c r="I416" s="15">
        <v>4</v>
      </c>
      <c r="J416" s="16"/>
      <c r="K416" s="16"/>
      <c r="L416" s="16"/>
      <c r="M416" s="18"/>
      <c r="N416" s="16"/>
      <c r="O416" s="16">
        <f t="shared" si="87"/>
        <v>11600000</v>
      </c>
      <c r="P416" s="16">
        <f>E416*814</f>
        <v>7871518.3799999999</v>
      </c>
      <c r="Q416" s="16"/>
      <c r="R416" s="16"/>
      <c r="S416" s="16"/>
      <c r="T416" s="16">
        <f t="shared" si="88"/>
        <v>464168.16000000003</v>
      </c>
      <c r="U416" s="15"/>
      <c r="V416" s="19">
        <f t="shared" si="89"/>
        <v>19935686.539999999</v>
      </c>
      <c r="W416" s="20" t="s">
        <v>1174</v>
      </c>
      <c r="X416" s="37">
        <v>0</v>
      </c>
      <c r="Y416" s="37">
        <v>0</v>
      </c>
      <c r="Z416" s="79">
        <v>0</v>
      </c>
      <c r="AA416" s="19">
        <f t="shared" si="86"/>
        <v>19935686.539999999</v>
      </c>
    </row>
    <row r="417" spans="1:27" s="12" customFormat="1" ht="93.75" customHeight="1" x14ac:dyDescent="0.25">
      <c r="A417" s="17">
        <f>IF(OR(D417=0,D417=""),"",COUNTA($D$306:D417))</f>
        <v>104</v>
      </c>
      <c r="B417" s="17" t="s">
        <v>991</v>
      </c>
      <c r="C417" s="91" t="s">
        <v>333</v>
      </c>
      <c r="D417" s="50">
        <v>1990</v>
      </c>
      <c r="E417" s="16">
        <v>7776.9</v>
      </c>
      <c r="F417" s="36">
        <v>5900.1</v>
      </c>
      <c r="G417" s="16">
        <v>0</v>
      </c>
      <c r="H417" s="17" t="s">
        <v>255</v>
      </c>
      <c r="I417" s="15">
        <v>3</v>
      </c>
      <c r="J417" s="16"/>
      <c r="K417" s="16"/>
      <c r="L417" s="23"/>
      <c r="M417" s="24"/>
      <c r="N417" s="16"/>
      <c r="O417" s="16">
        <f t="shared" si="87"/>
        <v>8700000</v>
      </c>
      <c r="P417" s="16"/>
      <c r="Q417" s="23"/>
      <c r="R417" s="23"/>
      <c r="S417" s="23"/>
      <c r="T417" s="16">
        <f t="shared" si="88"/>
        <v>373291.19999999995</v>
      </c>
      <c r="U417" s="16"/>
      <c r="V417" s="19">
        <f t="shared" si="89"/>
        <v>9073291.1999999993</v>
      </c>
      <c r="W417" s="20" t="s">
        <v>1174</v>
      </c>
      <c r="X417" s="37">
        <v>0</v>
      </c>
      <c r="Y417" s="37">
        <v>0</v>
      </c>
      <c r="Z417" s="79">
        <v>0</v>
      </c>
      <c r="AA417" s="19">
        <f t="shared" si="86"/>
        <v>9073291.1999999993</v>
      </c>
    </row>
    <row r="418" spans="1:27" s="12" customFormat="1" ht="93.75" customHeight="1" x14ac:dyDescent="0.25">
      <c r="A418" s="17">
        <f>IF(OR(D418=0,D418=""),"",COUNTA($D$306:D418))</f>
        <v>105</v>
      </c>
      <c r="B418" s="17" t="s">
        <v>717</v>
      </c>
      <c r="C418" s="90" t="s">
        <v>389</v>
      </c>
      <c r="D418" s="43">
        <v>1992</v>
      </c>
      <c r="E418" s="16">
        <v>5448.4</v>
      </c>
      <c r="F418" s="16">
        <v>3321.7</v>
      </c>
      <c r="G418" s="16">
        <v>66.599999999999994</v>
      </c>
      <c r="H418" s="17" t="s">
        <v>251</v>
      </c>
      <c r="I418" s="15">
        <v>2</v>
      </c>
      <c r="J418" s="16"/>
      <c r="K418" s="16"/>
      <c r="L418" s="23"/>
      <c r="M418" s="24"/>
      <c r="N418" s="16"/>
      <c r="O418" s="16">
        <f>3100000+3400000</f>
        <v>6500000</v>
      </c>
      <c r="P418" s="16">
        <f>527*E418</f>
        <v>2871306.8</v>
      </c>
      <c r="Q418" s="23"/>
      <c r="R418" s="23"/>
      <c r="S418" s="23"/>
      <c r="T418" s="16">
        <f>68*E418</f>
        <v>370491.19999999995</v>
      </c>
      <c r="U418" s="16"/>
      <c r="V418" s="19">
        <f t="shared" si="89"/>
        <v>9741798</v>
      </c>
      <c r="W418" s="20" t="s">
        <v>1174</v>
      </c>
      <c r="X418" s="37">
        <v>0</v>
      </c>
      <c r="Y418" s="37">
        <v>0</v>
      </c>
      <c r="Z418" s="79">
        <v>0</v>
      </c>
      <c r="AA418" s="19">
        <f t="shared" si="86"/>
        <v>9741798</v>
      </c>
    </row>
    <row r="419" spans="1:27" s="12" customFormat="1" ht="93.75" customHeight="1" x14ac:dyDescent="0.25">
      <c r="A419" s="17">
        <f>IF(OR(D419=0,D419=""),"",COUNTA($D$306:D419))</f>
        <v>106</v>
      </c>
      <c r="B419" s="17" t="s">
        <v>1010</v>
      </c>
      <c r="C419" s="90" t="s">
        <v>390</v>
      </c>
      <c r="D419" s="43">
        <v>1993</v>
      </c>
      <c r="E419" s="16">
        <v>14946.8</v>
      </c>
      <c r="F419" s="16">
        <v>11980.2</v>
      </c>
      <c r="G419" s="16">
        <v>171.4</v>
      </c>
      <c r="H419" s="17" t="s">
        <v>255</v>
      </c>
      <c r="I419" s="15">
        <v>6</v>
      </c>
      <c r="J419" s="16"/>
      <c r="K419" s="16"/>
      <c r="L419" s="23"/>
      <c r="M419" s="24"/>
      <c r="N419" s="16"/>
      <c r="O419" s="16">
        <f t="shared" ref="O419:O421" si="90">2900000*I419</f>
        <v>17400000</v>
      </c>
      <c r="P419" s="23"/>
      <c r="Q419" s="23"/>
      <c r="R419" s="16"/>
      <c r="S419" s="23"/>
      <c r="T419" s="16">
        <f>48*E419</f>
        <v>717446.39999999991</v>
      </c>
      <c r="U419" s="16"/>
      <c r="V419" s="19">
        <f t="shared" si="89"/>
        <v>18117446.399999999</v>
      </c>
      <c r="W419" s="20" t="s">
        <v>1174</v>
      </c>
      <c r="X419" s="37">
        <v>0</v>
      </c>
      <c r="Y419" s="37">
        <v>0</v>
      </c>
      <c r="Z419" s="79">
        <v>0</v>
      </c>
      <c r="AA419" s="19">
        <f t="shared" ref="AA419:AA442" si="91">V419-(X419+Y419+Z419)</f>
        <v>18117446.399999999</v>
      </c>
    </row>
    <row r="420" spans="1:27" s="12" customFormat="1" ht="93.75" customHeight="1" x14ac:dyDescent="0.25">
      <c r="A420" s="17">
        <f>IF(OR(D420=0,D420=""),"",COUNTA($D$306:D420))</f>
        <v>107</v>
      </c>
      <c r="B420" s="17" t="s">
        <v>861</v>
      </c>
      <c r="C420" s="90" t="s">
        <v>441</v>
      </c>
      <c r="D420" s="52">
        <v>1990</v>
      </c>
      <c r="E420" s="46">
        <v>13761.7</v>
      </c>
      <c r="F420" s="46">
        <v>9596.77</v>
      </c>
      <c r="G420" s="16">
        <v>0</v>
      </c>
      <c r="H420" s="17" t="s">
        <v>255</v>
      </c>
      <c r="I420" s="15">
        <v>5</v>
      </c>
      <c r="J420" s="16"/>
      <c r="K420" s="16"/>
      <c r="L420" s="16"/>
      <c r="M420" s="16"/>
      <c r="N420" s="16"/>
      <c r="O420" s="16">
        <f t="shared" si="90"/>
        <v>14500000</v>
      </c>
      <c r="P420" s="16"/>
      <c r="Q420" s="16"/>
      <c r="R420" s="16"/>
      <c r="S420" s="16"/>
      <c r="T420" s="16">
        <f>48*E420</f>
        <v>660561.60000000009</v>
      </c>
      <c r="U420" s="15"/>
      <c r="V420" s="19">
        <f t="shared" si="89"/>
        <v>15160561.6</v>
      </c>
      <c r="W420" s="20" t="s">
        <v>1174</v>
      </c>
      <c r="X420" s="37">
        <v>0</v>
      </c>
      <c r="Y420" s="37">
        <v>0</v>
      </c>
      <c r="Z420" s="79">
        <v>0</v>
      </c>
      <c r="AA420" s="19">
        <f t="shared" si="91"/>
        <v>15160561.6</v>
      </c>
    </row>
    <row r="421" spans="1:27" s="12" customFormat="1" ht="93.75" customHeight="1" x14ac:dyDescent="0.25">
      <c r="A421" s="17">
        <f>IF(OR(D421=0,D421=""),"",COUNTA($D$306:D421))</f>
        <v>108</v>
      </c>
      <c r="B421" s="17" t="s">
        <v>990</v>
      </c>
      <c r="C421" s="93" t="s">
        <v>265</v>
      </c>
      <c r="D421" s="59">
        <v>1987</v>
      </c>
      <c r="E421" s="47">
        <v>8360.6</v>
      </c>
      <c r="F421" s="47">
        <v>6440.1</v>
      </c>
      <c r="G421" s="74">
        <v>1920.5</v>
      </c>
      <c r="H421" s="17" t="s">
        <v>255</v>
      </c>
      <c r="I421" s="56">
        <v>4</v>
      </c>
      <c r="J421" s="47"/>
      <c r="K421" s="47"/>
      <c r="L421" s="16"/>
      <c r="M421" s="18"/>
      <c r="N421" s="16"/>
      <c r="O421" s="16">
        <f t="shared" si="90"/>
        <v>11600000</v>
      </c>
      <c r="P421" s="47"/>
      <c r="Q421" s="47"/>
      <c r="R421" s="47"/>
      <c r="S421" s="47"/>
      <c r="T421" s="16">
        <f>48*E421</f>
        <v>401308.80000000005</v>
      </c>
      <c r="U421" s="15"/>
      <c r="V421" s="19">
        <f t="shared" si="89"/>
        <v>12001308.800000001</v>
      </c>
      <c r="W421" s="20" t="s">
        <v>1174</v>
      </c>
      <c r="X421" s="37">
        <v>0</v>
      </c>
      <c r="Y421" s="37">
        <v>0</v>
      </c>
      <c r="Z421" s="79">
        <v>0</v>
      </c>
      <c r="AA421" s="19">
        <f t="shared" si="91"/>
        <v>12001308.800000001</v>
      </c>
    </row>
    <row r="422" spans="1:27" s="12" customFormat="1" ht="93.75" customHeight="1" x14ac:dyDescent="0.25">
      <c r="A422" s="17">
        <f>IF(OR(D422=0,D422=""),"",COUNTA($D$306:D422))</f>
        <v>109</v>
      </c>
      <c r="B422" s="17" t="s">
        <v>707</v>
      </c>
      <c r="C422" s="90" t="s">
        <v>43</v>
      </c>
      <c r="D422" s="43">
        <v>1969</v>
      </c>
      <c r="E422" s="16">
        <v>5937.59</v>
      </c>
      <c r="F422" s="16">
        <v>4419.59</v>
      </c>
      <c r="G422" s="16">
        <v>0</v>
      </c>
      <c r="H422" s="17" t="s">
        <v>257</v>
      </c>
      <c r="I422" s="15"/>
      <c r="J422" s="16"/>
      <c r="K422" s="16"/>
      <c r="L422" s="23"/>
      <c r="M422" s="18"/>
      <c r="N422" s="16"/>
      <c r="O422" s="16"/>
      <c r="P422" s="16">
        <f>2304*E422</f>
        <v>13680207.359999999</v>
      </c>
      <c r="Q422" s="16"/>
      <c r="R422" s="16"/>
      <c r="S422" s="16"/>
      <c r="T422" s="16"/>
      <c r="U422" s="15"/>
      <c r="V422" s="19">
        <f t="shared" si="89"/>
        <v>13680207.359999999</v>
      </c>
      <c r="W422" s="20" t="s">
        <v>1174</v>
      </c>
      <c r="X422" s="37">
        <v>0</v>
      </c>
      <c r="Y422" s="37">
        <v>0</v>
      </c>
      <c r="Z422" s="79">
        <v>0</v>
      </c>
      <c r="AA422" s="19">
        <f t="shared" si="91"/>
        <v>13680207.359999999</v>
      </c>
    </row>
    <row r="423" spans="1:27" s="12" customFormat="1" ht="93.75" customHeight="1" x14ac:dyDescent="0.25">
      <c r="A423" s="17">
        <f>IF(OR(D423=0,D423=""),"",COUNTA($D$306:D423))</f>
        <v>110</v>
      </c>
      <c r="B423" s="17" t="s">
        <v>855</v>
      </c>
      <c r="C423" s="90" t="s">
        <v>136</v>
      </c>
      <c r="D423" s="43">
        <v>1969</v>
      </c>
      <c r="E423" s="16">
        <v>5844.5</v>
      </c>
      <c r="F423" s="16">
        <v>4508.2</v>
      </c>
      <c r="G423" s="16">
        <v>0</v>
      </c>
      <c r="H423" s="17" t="s">
        <v>257</v>
      </c>
      <c r="I423" s="15"/>
      <c r="J423" s="16"/>
      <c r="K423" s="16">
        <f>1145*E423</f>
        <v>6691952.5</v>
      </c>
      <c r="L423" s="23"/>
      <c r="M423" s="16">
        <f>826*E423</f>
        <v>4827557</v>
      </c>
      <c r="N423" s="16">
        <f>367*E423</f>
        <v>2144931.5</v>
      </c>
      <c r="O423" s="16"/>
      <c r="P423" s="16">
        <f>2304*E423</f>
        <v>13465728</v>
      </c>
      <c r="Q423" s="16"/>
      <c r="R423" s="16"/>
      <c r="S423" s="16"/>
      <c r="T423" s="16"/>
      <c r="U423" s="15"/>
      <c r="V423" s="19">
        <f t="shared" si="89"/>
        <v>27130169</v>
      </c>
      <c r="W423" s="20" t="s">
        <v>1174</v>
      </c>
      <c r="X423" s="37">
        <v>0</v>
      </c>
      <c r="Y423" s="37">
        <v>0</v>
      </c>
      <c r="Z423" s="79">
        <v>0</v>
      </c>
      <c r="AA423" s="19">
        <f t="shared" si="91"/>
        <v>27130169</v>
      </c>
    </row>
    <row r="424" spans="1:27" s="12" customFormat="1" ht="93.75" customHeight="1" x14ac:dyDescent="0.25">
      <c r="A424" s="17">
        <f>IF(OR(D424=0,D424=""),"",COUNTA($D$306:D424))</f>
        <v>111</v>
      </c>
      <c r="B424" s="17" t="s">
        <v>963</v>
      </c>
      <c r="C424" s="90" t="s">
        <v>467</v>
      </c>
      <c r="D424" s="43">
        <v>1994</v>
      </c>
      <c r="E424" s="16">
        <v>7559</v>
      </c>
      <c r="F424" s="16">
        <v>5919</v>
      </c>
      <c r="G424" s="16">
        <v>0</v>
      </c>
      <c r="H424" s="17" t="s">
        <v>255</v>
      </c>
      <c r="I424" s="15">
        <v>3</v>
      </c>
      <c r="J424" s="16"/>
      <c r="K424" s="16"/>
      <c r="L424" s="23"/>
      <c r="M424" s="16"/>
      <c r="N424" s="16"/>
      <c r="O424" s="16"/>
      <c r="P424" s="16">
        <f>E424*814</f>
        <v>6153026</v>
      </c>
      <c r="Q424" s="16"/>
      <c r="R424" s="16"/>
      <c r="S424" s="16"/>
      <c r="T424" s="16"/>
      <c r="U424" s="15"/>
      <c r="V424" s="19">
        <f t="shared" si="89"/>
        <v>6153026</v>
      </c>
      <c r="W424" s="20" t="s">
        <v>1174</v>
      </c>
      <c r="X424" s="37">
        <v>0</v>
      </c>
      <c r="Y424" s="37">
        <v>0</v>
      </c>
      <c r="Z424" s="79">
        <v>0</v>
      </c>
      <c r="AA424" s="19">
        <f t="shared" si="91"/>
        <v>6153026</v>
      </c>
    </row>
    <row r="425" spans="1:27" s="12" customFormat="1" ht="93.75" customHeight="1" x14ac:dyDescent="0.25">
      <c r="A425" s="17">
        <f>IF(OR(D425=0,D425=""),"",COUNTA($D$306:D425))</f>
        <v>112</v>
      </c>
      <c r="B425" s="17" t="s">
        <v>903</v>
      </c>
      <c r="C425" s="90" t="s">
        <v>387</v>
      </c>
      <c r="D425" s="43">
        <v>1975</v>
      </c>
      <c r="E425" s="16">
        <v>3146.5</v>
      </c>
      <c r="F425" s="16">
        <v>1894.9</v>
      </c>
      <c r="G425" s="16">
        <v>989.6</v>
      </c>
      <c r="H425" s="17" t="s">
        <v>255</v>
      </c>
      <c r="I425" s="15">
        <v>1</v>
      </c>
      <c r="J425" s="16"/>
      <c r="K425" s="16"/>
      <c r="L425" s="16"/>
      <c r="M425" s="16"/>
      <c r="N425" s="16"/>
      <c r="O425" s="16"/>
      <c r="P425" s="16">
        <f>E425*814</f>
        <v>2561251</v>
      </c>
      <c r="Q425" s="16"/>
      <c r="R425" s="16"/>
      <c r="S425" s="16"/>
      <c r="T425" s="16"/>
      <c r="U425" s="15"/>
      <c r="V425" s="19">
        <f t="shared" si="89"/>
        <v>2561251</v>
      </c>
      <c r="W425" s="20" t="s">
        <v>1174</v>
      </c>
      <c r="X425" s="37">
        <v>0</v>
      </c>
      <c r="Y425" s="37">
        <v>0</v>
      </c>
      <c r="Z425" s="79">
        <v>0</v>
      </c>
      <c r="AA425" s="19">
        <f t="shared" si="91"/>
        <v>2561251</v>
      </c>
    </row>
    <row r="426" spans="1:27" s="12" customFormat="1" ht="93.75" customHeight="1" x14ac:dyDescent="0.25">
      <c r="A426" s="17">
        <f>IF(OR(D426=0,D426=""),"",COUNTA($D$306:D426))</f>
        <v>113</v>
      </c>
      <c r="B426" s="17" t="s">
        <v>932</v>
      </c>
      <c r="C426" s="90" t="s">
        <v>468</v>
      </c>
      <c r="D426" s="43">
        <v>1979</v>
      </c>
      <c r="E426" s="16">
        <v>3784.4</v>
      </c>
      <c r="F426" s="16">
        <v>2877.1</v>
      </c>
      <c r="G426" s="16">
        <v>0</v>
      </c>
      <c r="H426" s="17" t="s">
        <v>257</v>
      </c>
      <c r="I426" s="15"/>
      <c r="J426" s="16"/>
      <c r="K426" s="16"/>
      <c r="L426" s="23"/>
      <c r="M426" s="18"/>
      <c r="N426" s="16"/>
      <c r="O426" s="16"/>
      <c r="P426" s="16">
        <f>2304*E426</f>
        <v>8719257.5999999996</v>
      </c>
      <c r="Q426" s="16"/>
      <c r="R426" s="16"/>
      <c r="S426" s="16"/>
      <c r="T426" s="16"/>
      <c r="U426" s="15"/>
      <c r="V426" s="19">
        <f t="shared" si="89"/>
        <v>8719257.5999999996</v>
      </c>
      <c r="W426" s="20" t="s">
        <v>1174</v>
      </c>
      <c r="X426" s="37">
        <v>0</v>
      </c>
      <c r="Y426" s="37">
        <v>0</v>
      </c>
      <c r="Z426" s="79">
        <v>0</v>
      </c>
      <c r="AA426" s="19">
        <f t="shared" si="91"/>
        <v>8719257.5999999996</v>
      </c>
    </row>
    <row r="427" spans="1:27" s="12" customFormat="1" ht="93.75" customHeight="1" x14ac:dyDescent="0.25">
      <c r="A427" s="17">
        <f>IF(OR(D427=0,D427=""),"",COUNTA($D$306:D427))</f>
        <v>114</v>
      </c>
      <c r="B427" s="17" t="s">
        <v>936</v>
      </c>
      <c r="C427" s="90" t="s">
        <v>469</v>
      </c>
      <c r="D427" s="43">
        <v>1985</v>
      </c>
      <c r="E427" s="16">
        <v>5503.8</v>
      </c>
      <c r="F427" s="16">
        <v>4048</v>
      </c>
      <c r="G427" s="16">
        <v>0</v>
      </c>
      <c r="H427" s="17" t="s">
        <v>257</v>
      </c>
      <c r="I427" s="15"/>
      <c r="J427" s="16"/>
      <c r="K427" s="16"/>
      <c r="L427" s="23"/>
      <c r="M427" s="18"/>
      <c r="N427" s="16"/>
      <c r="O427" s="16"/>
      <c r="P427" s="16">
        <f>2304*E427</f>
        <v>12680755.200000001</v>
      </c>
      <c r="Q427" s="16"/>
      <c r="R427" s="16"/>
      <c r="S427" s="16"/>
      <c r="T427" s="16"/>
      <c r="U427" s="15"/>
      <c r="V427" s="19">
        <f t="shared" si="89"/>
        <v>12680755.200000001</v>
      </c>
      <c r="W427" s="20" t="s">
        <v>1174</v>
      </c>
      <c r="X427" s="37">
        <v>0</v>
      </c>
      <c r="Y427" s="37">
        <v>0</v>
      </c>
      <c r="Z427" s="79">
        <v>0</v>
      </c>
      <c r="AA427" s="19">
        <f t="shared" si="91"/>
        <v>12680755.200000001</v>
      </c>
    </row>
    <row r="428" spans="1:27" s="12" customFormat="1" ht="93.75" customHeight="1" x14ac:dyDescent="0.25">
      <c r="A428" s="17">
        <f>IF(OR(D428=0,D428=""),"",COUNTA($D$306:D428))</f>
        <v>115</v>
      </c>
      <c r="B428" s="17" t="s">
        <v>1030</v>
      </c>
      <c r="C428" s="90" t="s">
        <v>364</v>
      </c>
      <c r="D428" s="43">
        <v>1968</v>
      </c>
      <c r="E428" s="16">
        <v>3322.6</v>
      </c>
      <c r="F428" s="16">
        <v>2702</v>
      </c>
      <c r="G428" s="16">
        <v>620.6</v>
      </c>
      <c r="H428" s="17" t="s">
        <v>257</v>
      </c>
      <c r="I428" s="15"/>
      <c r="J428" s="16"/>
      <c r="K428" s="16"/>
      <c r="L428" s="23"/>
      <c r="M428" s="18"/>
      <c r="N428" s="16"/>
      <c r="O428" s="16"/>
      <c r="P428" s="16">
        <f>2304*E428</f>
        <v>7655270.3999999994</v>
      </c>
      <c r="Q428" s="16"/>
      <c r="R428" s="16">
        <f>E428*2904</f>
        <v>9648830.4000000004</v>
      </c>
      <c r="S428" s="16"/>
      <c r="T428" s="16"/>
      <c r="U428" s="15"/>
      <c r="V428" s="19">
        <f t="shared" si="89"/>
        <v>17304100.800000001</v>
      </c>
      <c r="W428" s="20" t="s">
        <v>1174</v>
      </c>
      <c r="X428" s="37">
        <v>0</v>
      </c>
      <c r="Y428" s="37">
        <v>0</v>
      </c>
      <c r="Z428" s="79">
        <v>0</v>
      </c>
      <c r="AA428" s="19">
        <f t="shared" si="91"/>
        <v>17304100.800000001</v>
      </c>
    </row>
    <row r="429" spans="1:27" s="12" customFormat="1" ht="93.75" customHeight="1" x14ac:dyDescent="0.25">
      <c r="A429" s="17">
        <f>IF(OR(D429=0,D429=""),"",COUNTA($D$306:D429))</f>
        <v>116</v>
      </c>
      <c r="B429" s="17" t="s">
        <v>832</v>
      </c>
      <c r="C429" s="90" t="s">
        <v>115</v>
      </c>
      <c r="D429" s="15">
        <v>1964</v>
      </c>
      <c r="E429" s="16">
        <v>3850.9</v>
      </c>
      <c r="F429" s="16">
        <v>2558.1</v>
      </c>
      <c r="G429" s="16">
        <v>0</v>
      </c>
      <c r="H429" s="17" t="s">
        <v>256</v>
      </c>
      <c r="I429" s="15"/>
      <c r="J429" s="16">
        <f>390*E429</f>
        <v>1501851</v>
      </c>
      <c r="K429" s="16"/>
      <c r="L429" s="23"/>
      <c r="M429" s="18"/>
      <c r="N429" s="16"/>
      <c r="O429" s="16"/>
      <c r="P429" s="16"/>
      <c r="Q429" s="16"/>
      <c r="R429" s="16"/>
      <c r="S429" s="16"/>
      <c r="T429" s="16"/>
      <c r="U429" s="15"/>
      <c r="V429" s="19">
        <f t="shared" ref="V429" si="92">J429+K429+L429+M429+N429+O429+P429+Q429+R429+S429+T429+U429</f>
        <v>1501851</v>
      </c>
      <c r="W429" s="20" t="s">
        <v>1174</v>
      </c>
      <c r="X429" s="37">
        <v>0</v>
      </c>
      <c r="Y429" s="37">
        <v>0</v>
      </c>
      <c r="Z429" s="79">
        <v>0</v>
      </c>
      <c r="AA429" s="19">
        <f t="shared" ref="AA429" si="93">V429-(X429+Y429+Z429)</f>
        <v>1501851</v>
      </c>
    </row>
    <row r="430" spans="1:27" s="12" customFormat="1" ht="93.75" customHeight="1" x14ac:dyDescent="0.25">
      <c r="A430" s="17">
        <f>IF(OR(D430=0,D430=""),"",COUNTA($D$306:D430))</f>
        <v>117</v>
      </c>
      <c r="B430" s="17" t="s">
        <v>894</v>
      </c>
      <c r="C430" s="90" t="s">
        <v>263</v>
      </c>
      <c r="D430" s="43">
        <v>1964</v>
      </c>
      <c r="E430" s="16">
        <v>4935.7</v>
      </c>
      <c r="F430" s="16">
        <v>2789.7</v>
      </c>
      <c r="G430" s="16">
        <v>1151.5999999999999</v>
      </c>
      <c r="H430" s="17" t="s">
        <v>257</v>
      </c>
      <c r="I430" s="15"/>
      <c r="J430" s="16">
        <f>390*E430</f>
        <v>1924923</v>
      </c>
      <c r="K430" s="16"/>
      <c r="L430" s="23"/>
      <c r="M430" s="16"/>
      <c r="N430" s="16"/>
      <c r="O430" s="16"/>
      <c r="P430" s="16"/>
      <c r="Q430" s="16"/>
      <c r="R430" s="16"/>
      <c r="S430" s="16"/>
      <c r="T430" s="16"/>
      <c r="U430" s="15"/>
      <c r="V430" s="19">
        <f t="shared" si="89"/>
        <v>1924923</v>
      </c>
      <c r="W430" s="20" t="s">
        <v>1174</v>
      </c>
      <c r="X430" s="37">
        <v>0</v>
      </c>
      <c r="Y430" s="37">
        <v>0</v>
      </c>
      <c r="Z430" s="79">
        <v>0</v>
      </c>
      <c r="AA430" s="19">
        <f t="shared" si="91"/>
        <v>1924923</v>
      </c>
    </row>
    <row r="431" spans="1:27" s="12" customFormat="1" ht="93.75" customHeight="1" x14ac:dyDescent="0.25">
      <c r="A431" s="17">
        <f>IF(OR(D431=0,D431=""),"",COUNTA($D$306:D431))</f>
        <v>118</v>
      </c>
      <c r="B431" s="17" t="s">
        <v>720</v>
      </c>
      <c r="C431" s="90" t="s">
        <v>470</v>
      </c>
      <c r="D431" s="43">
        <v>1983</v>
      </c>
      <c r="E431" s="16">
        <v>19067.3</v>
      </c>
      <c r="F431" s="16">
        <v>13424.8</v>
      </c>
      <c r="G431" s="16">
        <v>1136.9000000000001</v>
      </c>
      <c r="H431" s="17" t="s">
        <v>255</v>
      </c>
      <c r="I431" s="15"/>
      <c r="J431" s="16"/>
      <c r="K431" s="16">
        <f>854*E431</f>
        <v>16283474.199999999</v>
      </c>
      <c r="L431" s="23"/>
      <c r="M431" s="16">
        <f>E431*209</f>
        <v>3985065.6999999997</v>
      </c>
      <c r="N431" s="16"/>
      <c r="O431" s="16"/>
      <c r="P431" s="16">
        <f>E431*814</f>
        <v>15520782.199999999</v>
      </c>
      <c r="Q431" s="16"/>
      <c r="R431" s="16"/>
      <c r="S431" s="16"/>
      <c r="T431" s="16"/>
      <c r="U431" s="15"/>
      <c r="V431" s="19">
        <f t="shared" si="89"/>
        <v>35789322.099999994</v>
      </c>
      <c r="W431" s="20" t="s">
        <v>1174</v>
      </c>
      <c r="X431" s="37">
        <v>5000000</v>
      </c>
      <c r="Y431" s="37">
        <v>0</v>
      </c>
      <c r="Z431" s="79">
        <v>0</v>
      </c>
      <c r="AA431" s="19">
        <f t="shared" si="91"/>
        <v>30789322.099999994</v>
      </c>
    </row>
    <row r="432" spans="1:27" s="12" customFormat="1" ht="93.75" customHeight="1" x14ac:dyDescent="0.25">
      <c r="A432" s="17">
        <f>IF(OR(D432=0,D432=""),"",COUNTA($D$306:D432))</f>
        <v>119</v>
      </c>
      <c r="B432" s="17" t="s">
        <v>874</v>
      </c>
      <c r="C432" s="90" t="s">
        <v>471</v>
      </c>
      <c r="D432" s="43">
        <v>1977</v>
      </c>
      <c r="E432" s="16">
        <v>3626.8</v>
      </c>
      <c r="F432" s="16">
        <v>1868.2</v>
      </c>
      <c r="G432" s="16">
        <v>1458.6</v>
      </c>
      <c r="H432" s="17" t="s">
        <v>255</v>
      </c>
      <c r="I432" s="15"/>
      <c r="J432" s="16"/>
      <c r="K432" s="16"/>
      <c r="L432" s="23"/>
      <c r="M432" s="18"/>
      <c r="N432" s="16"/>
      <c r="O432" s="16"/>
      <c r="P432" s="16">
        <f>E432*814</f>
        <v>2952215.2</v>
      </c>
      <c r="Q432" s="16"/>
      <c r="R432" s="16"/>
      <c r="S432" s="16"/>
      <c r="T432" s="16"/>
      <c r="U432" s="15"/>
      <c r="V432" s="19">
        <f t="shared" si="89"/>
        <v>2952215.2</v>
      </c>
      <c r="W432" s="20" t="s">
        <v>1174</v>
      </c>
      <c r="X432" s="37">
        <v>0</v>
      </c>
      <c r="Y432" s="37">
        <v>0</v>
      </c>
      <c r="Z432" s="79">
        <v>0</v>
      </c>
      <c r="AA432" s="19">
        <f t="shared" si="91"/>
        <v>2952215.2</v>
      </c>
    </row>
    <row r="433" spans="1:27" s="12" customFormat="1" ht="93.75" customHeight="1" x14ac:dyDescent="0.25">
      <c r="A433" s="17">
        <f>IF(OR(D433=0,D433=""),"",COUNTA($D$306:D433))</f>
        <v>120</v>
      </c>
      <c r="B433" s="17" t="s">
        <v>975</v>
      </c>
      <c r="C433" s="90" t="s">
        <v>472</v>
      </c>
      <c r="D433" s="43">
        <v>1975</v>
      </c>
      <c r="E433" s="16">
        <v>5620.68</v>
      </c>
      <c r="F433" s="16">
        <v>4437.38</v>
      </c>
      <c r="G433" s="16">
        <v>43.9</v>
      </c>
      <c r="H433" s="17" t="s">
        <v>257</v>
      </c>
      <c r="I433" s="15"/>
      <c r="J433" s="16"/>
      <c r="K433" s="16"/>
      <c r="L433" s="23"/>
      <c r="M433" s="18"/>
      <c r="N433" s="16"/>
      <c r="O433" s="16"/>
      <c r="P433" s="16">
        <f>2304*E433</f>
        <v>12950046.720000001</v>
      </c>
      <c r="Q433" s="16"/>
      <c r="R433" s="16">
        <f>E433*2694</f>
        <v>15142111.92</v>
      </c>
      <c r="S433" s="16"/>
      <c r="T433" s="16"/>
      <c r="U433" s="15"/>
      <c r="V433" s="19">
        <f t="shared" si="89"/>
        <v>28092158.640000001</v>
      </c>
      <c r="W433" s="20" t="s">
        <v>1174</v>
      </c>
      <c r="X433" s="37">
        <v>0</v>
      </c>
      <c r="Y433" s="37">
        <v>0</v>
      </c>
      <c r="Z433" s="79">
        <v>0</v>
      </c>
      <c r="AA433" s="19">
        <f t="shared" si="91"/>
        <v>28092158.640000001</v>
      </c>
    </row>
    <row r="434" spans="1:27" s="12" customFormat="1" ht="93.75" customHeight="1" x14ac:dyDescent="0.25">
      <c r="A434" s="17">
        <f>IF(OR(D434=0,D434=""),"",COUNTA($D$306:D434))</f>
        <v>121</v>
      </c>
      <c r="B434" s="17" t="s">
        <v>711</v>
      </c>
      <c r="C434" s="90" t="s">
        <v>47</v>
      </c>
      <c r="D434" s="43">
        <v>1966</v>
      </c>
      <c r="E434" s="16">
        <v>12412.2</v>
      </c>
      <c r="F434" s="16">
        <v>8491.4</v>
      </c>
      <c r="G434" s="16">
        <v>2448</v>
      </c>
      <c r="H434" s="17" t="s">
        <v>257</v>
      </c>
      <c r="I434" s="15"/>
      <c r="J434" s="16"/>
      <c r="K434" s="16"/>
      <c r="L434" s="23"/>
      <c r="M434" s="18"/>
      <c r="N434" s="16"/>
      <c r="O434" s="16"/>
      <c r="P434" s="16">
        <f>2304*E434</f>
        <v>28597708.800000001</v>
      </c>
      <c r="Q434" s="16"/>
      <c r="R434" s="16">
        <f>E434*2694</f>
        <v>33438466.800000001</v>
      </c>
      <c r="S434" s="16"/>
      <c r="T434" s="16"/>
      <c r="U434" s="15"/>
      <c r="V434" s="19">
        <f t="shared" si="89"/>
        <v>62036175.600000001</v>
      </c>
      <c r="W434" s="20" t="s">
        <v>1174</v>
      </c>
      <c r="X434" s="37">
        <v>0</v>
      </c>
      <c r="Y434" s="37">
        <v>0</v>
      </c>
      <c r="Z434" s="79">
        <v>0</v>
      </c>
      <c r="AA434" s="19">
        <f t="shared" si="91"/>
        <v>62036175.600000001</v>
      </c>
    </row>
    <row r="435" spans="1:27" s="12" customFormat="1" ht="93.75" customHeight="1" x14ac:dyDescent="0.25">
      <c r="A435" s="17">
        <f>IF(OR(D435=0,D435=""),"",COUNTA($D$306:D435))</f>
        <v>122</v>
      </c>
      <c r="B435" s="17" t="s">
        <v>916</v>
      </c>
      <c r="C435" s="94" t="s">
        <v>346</v>
      </c>
      <c r="D435" s="43">
        <v>1983</v>
      </c>
      <c r="E435" s="16">
        <v>14289.7</v>
      </c>
      <c r="F435" s="16">
        <v>9624.61</v>
      </c>
      <c r="G435" s="16">
        <v>0</v>
      </c>
      <c r="H435" s="17" t="s">
        <v>255</v>
      </c>
      <c r="I435" s="15"/>
      <c r="J435" s="16"/>
      <c r="K435" s="16">
        <f>854*E435</f>
        <v>12203403.800000001</v>
      </c>
      <c r="L435" s="23"/>
      <c r="M435" s="18"/>
      <c r="N435" s="16"/>
      <c r="O435" s="16"/>
      <c r="P435" s="16">
        <f>E435*814</f>
        <v>11631815.800000001</v>
      </c>
      <c r="Q435" s="16"/>
      <c r="R435" s="16"/>
      <c r="S435" s="16"/>
      <c r="T435" s="16"/>
      <c r="U435" s="15"/>
      <c r="V435" s="19">
        <f t="shared" si="89"/>
        <v>23835219.600000001</v>
      </c>
      <c r="W435" s="20" t="s">
        <v>1174</v>
      </c>
      <c r="X435" s="37">
        <v>1037553.87</v>
      </c>
      <c r="Y435" s="37">
        <v>0</v>
      </c>
      <c r="Z435" s="79">
        <v>0</v>
      </c>
      <c r="AA435" s="19">
        <f t="shared" si="91"/>
        <v>22797665.73</v>
      </c>
    </row>
    <row r="436" spans="1:27" s="12" customFormat="1" ht="93.75" customHeight="1" x14ac:dyDescent="0.25">
      <c r="A436" s="17">
        <f>IF(OR(D436=0,D436=""),"",COUNTA($D$306:D436))</f>
        <v>123</v>
      </c>
      <c r="B436" s="17" t="s">
        <v>1005</v>
      </c>
      <c r="C436" s="90" t="s">
        <v>294</v>
      </c>
      <c r="D436" s="43">
        <v>1958</v>
      </c>
      <c r="E436" s="16">
        <v>953.88</v>
      </c>
      <c r="F436" s="16">
        <v>656.48</v>
      </c>
      <c r="G436" s="16">
        <v>98</v>
      </c>
      <c r="H436" s="17" t="s">
        <v>250</v>
      </c>
      <c r="I436" s="15"/>
      <c r="J436" s="16"/>
      <c r="K436" s="16"/>
      <c r="L436" s="23"/>
      <c r="M436" s="18"/>
      <c r="N436" s="16"/>
      <c r="O436" s="16"/>
      <c r="P436" s="16">
        <f>E436*3823</f>
        <v>3646683.2399999998</v>
      </c>
      <c r="Q436" s="16"/>
      <c r="R436" s="16">
        <f>E436*2904</f>
        <v>2770067.52</v>
      </c>
      <c r="S436" s="16"/>
      <c r="T436" s="16"/>
      <c r="U436" s="15"/>
      <c r="V436" s="19">
        <f t="shared" si="89"/>
        <v>6416750.7599999998</v>
      </c>
      <c r="W436" s="20" t="s">
        <v>1174</v>
      </c>
      <c r="X436" s="37">
        <v>0</v>
      </c>
      <c r="Y436" s="37">
        <v>0</v>
      </c>
      <c r="Z436" s="79">
        <v>0</v>
      </c>
      <c r="AA436" s="19">
        <f t="shared" si="91"/>
        <v>6416750.7599999998</v>
      </c>
    </row>
    <row r="437" spans="1:27" s="12" customFormat="1" ht="93.75" customHeight="1" x14ac:dyDescent="0.25">
      <c r="A437" s="17">
        <f>IF(OR(D437=0,D437=""),"",COUNTA($D$306:D437))</f>
        <v>124</v>
      </c>
      <c r="B437" s="17" t="s">
        <v>927</v>
      </c>
      <c r="C437" s="90" t="s">
        <v>395</v>
      </c>
      <c r="D437" s="43">
        <v>1969</v>
      </c>
      <c r="E437" s="16">
        <v>6590.98</v>
      </c>
      <c r="F437" s="16">
        <v>4421.1000000000004</v>
      </c>
      <c r="G437" s="16">
        <v>0</v>
      </c>
      <c r="H437" s="17" t="s">
        <v>257</v>
      </c>
      <c r="I437" s="15"/>
      <c r="J437" s="16"/>
      <c r="K437" s="16"/>
      <c r="L437" s="23"/>
      <c r="M437" s="18"/>
      <c r="N437" s="16"/>
      <c r="O437" s="16"/>
      <c r="P437" s="16">
        <f>2304*E437</f>
        <v>15185617.919999998</v>
      </c>
      <c r="Q437" s="16"/>
      <c r="R437" s="16"/>
      <c r="S437" s="16"/>
      <c r="T437" s="16"/>
      <c r="U437" s="15"/>
      <c r="V437" s="19">
        <f t="shared" si="89"/>
        <v>15185617.919999998</v>
      </c>
      <c r="W437" s="20" t="s">
        <v>1174</v>
      </c>
      <c r="X437" s="37">
        <v>0</v>
      </c>
      <c r="Y437" s="37">
        <v>0</v>
      </c>
      <c r="Z437" s="79">
        <v>0</v>
      </c>
      <c r="AA437" s="19">
        <f t="shared" si="91"/>
        <v>15185617.919999998</v>
      </c>
    </row>
    <row r="438" spans="1:27" s="12" customFormat="1" ht="93.75" customHeight="1" x14ac:dyDescent="0.25">
      <c r="A438" s="17">
        <f>IF(OR(D438=0,D438=""),"",COUNTA($D$306:D438))</f>
        <v>125</v>
      </c>
      <c r="B438" s="17" t="s">
        <v>928</v>
      </c>
      <c r="C438" s="90" t="s">
        <v>396</v>
      </c>
      <c r="D438" s="43">
        <v>1968</v>
      </c>
      <c r="E438" s="16">
        <v>4353.88</v>
      </c>
      <c r="F438" s="16">
        <v>2717.8</v>
      </c>
      <c r="G438" s="16">
        <v>880.1</v>
      </c>
      <c r="H438" s="17" t="s">
        <v>257</v>
      </c>
      <c r="I438" s="15"/>
      <c r="J438" s="16"/>
      <c r="K438" s="16"/>
      <c r="L438" s="23"/>
      <c r="M438" s="18"/>
      <c r="N438" s="16"/>
      <c r="O438" s="16"/>
      <c r="P438" s="16">
        <f>2304*E438</f>
        <v>10031339.52</v>
      </c>
      <c r="Q438" s="16"/>
      <c r="R438" s="16"/>
      <c r="S438" s="16"/>
      <c r="T438" s="16"/>
      <c r="U438" s="15"/>
      <c r="V438" s="19">
        <f t="shared" si="89"/>
        <v>10031339.52</v>
      </c>
      <c r="W438" s="20" t="s">
        <v>1174</v>
      </c>
      <c r="X438" s="37">
        <v>0</v>
      </c>
      <c r="Y438" s="37">
        <v>0</v>
      </c>
      <c r="Z438" s="79">
        <v>0</v>
      </c>
      <c r="AA438" s="19">
        <f t="shared" si="91"/>
        <v>10031339.52</v>
      </c>
    </row>
    <row r="439" spans="1:27" s="12" customFormat="1" ht="93.75" customHeight="1" x14ac:dyDescent="0.25">
      <c r="A439" s="17">
        <f>IF(OR(D439=0,D439=""),"",COUNTA($D$306:D439))</f>
        <v>126</v>
      </c>
      <c r="B439" s="17" t="s">
        <v>930</v>
      </c>
      <c r="C439" s="90" t="s">
        <v>397</v>
      </c>
      <c r="D439" s="43">
        <v>1967</v>
      </c>
      <c r="E439" s="16">
        <v>4353.88</v>
      </c>
      <c r="F439" s="16">
        <v>2727.7</v>
      </c>
      <c r="G439" s="16">
        <v>1040.2</v>
      </c>
      <c r="H439" s="17" t="s">
        <v>257</v>
      </c>
      <c r="I439" s="15"/>
      <c r="J439" s="16"/>
      <c r="K439" s="16"/>
      <c r="L439" s="23"/>
      <c r="M439" s="18"/>
      <c r="N439" s="16"/>
      <c r="O439" s="16"/>
      <c r="P439" s="16">
        <f>2304*E439</f>
        <v>10031339.52</v>
      </c>
      <c r="Q439" s="16"/>
      <c r="R439" s="16"/>
      <c r="S439" s="16"/>
      <c r="T439" s="16"/>
      <c r="U439" s="15"/>
      <c r="V439" s="19">
        <f t="shared" si="89"/>
        <v>10031339.52</v>
      </c>
      <c r="W439" s="20" t="s">
        <v>1174</v>
      </c>
      <c r="X439" s="37">
        <v>0</v>
      </c>
      <c r="Y439" s="37">
        <v>0</v>
      </c>
      <c r="Z439" s="79">
        <v>0</v>
      </c>
      <c r="AA439" s="19">
        <f t="shared" si="91"/>
        <v>10031339.52</v>
      </c>
    </row>
    <row r="440" spans="1:27" s="12" customFormat="1" ht="93.75" customHeight="1" x14ac:dyDescent="0.25">
      <c r="A440" s="17">
        <f>IF(OR(D440=0,D440=""),"",COUNTA($D$306:D440))</f>
        <v>127</v>
      </c>
      <c r="B440" s="17" t="s">
        <v>949</v>
      </c>
      <c r="C440" s="90" t="s">
        <v>408</v>
      </c>
      <c r="D440" s="43">
        <v>1974</v>
      </c>
      <c r="E440" s="16">
        <v>4217.1000000000004</v>
      </c>
      <c r="F440" s="16">
        <v>3251.6</v>
      </c>
      <c r="G440" s="16">
        <v>965.5</v>
      </c>
      <c r="H440" s="17" t="s">
        <v>257</v>
      </c>
      <c r="I440" s="15"/>
      <c r="J440" s="16"/>
      <c r="K440" s="16">
        <f>1145*E440</f>
        <v>4828579.5</v>
      </c>
      <c r="L440" s="23"/>
      <c r="M440" s="18"/>
      <c r="N440" s="16"/>
      <c r="O440" s="16"/>
      <c r="P440" s="16"/>
      <c r="Q440" s="16"/>
      <c r="R440" s="16"/>
      <c r="S440" s="16"/>
      <c r="T440" s="16"/>
      <c r="U440" s="15"/>
      <c r="V440" s="19">
        <f t="shared" si="89"/>
        <v>4828579.5</v>
      </c>
      <c r="W440" s="20" t="s">
        <v>1174</v>
      </c>
      <c r="X440" s="37">
        <v>0</v>
      </c>
      <c r="Y440" s="37">
        <v>0</v>
      </c>
      <c r="Z440" s="79">
        <v>0</v>
      </c>
      <c r="AA440" s="19">
        <f t="shared" si="91"/>
        <v>4828579.5</v>
      </c>
    </row>
    <row r="441" spans="1:27" s="12" customFormat="1" ht="93.75" customHeight="1" x14ac:dyDescent="0.25">
      <c r="A441" s="17">
        <f>IF(OR(D441=0,D441=""),"",COUNTA($D$306:D441))</f>
        <v>128</v>
      </c>
      <c r="B441" s="17" t="s">
        <v>982</v>
      </c>
      <c r="C441" s="90" t="s">
        <v>409</v>
      </c>
      <c r="D441" s="43">
        <v>1967</v>
      </c>
      <c r="E441" s="16">
        <v>4327.1000000000004</v>
      </c>
      <c r="F441" s="16">
        <v>3322.3</v>
      </c>
      <c r="G441" s="16">
        <v>0</v>
      </c>
      <c r="H441" s="17" t="s">
        <v>257</v>
      </c>
      <c r="I441" s="15"/>
      <c r="J441" s="16"/>
      <c r="K441" s="16"/>
      <c r="L441" s="23"/>
      <c r="M441" s="18"/>
      <c r="N441" s="16"/>
      <c r="O441" s="16"/>
      <c r="P441" s="16">
        <f>2304*E441</f>
        <v>9969638.4000000004</v>
      </c>
      <c r="Q441" s="16"/>
      <c r="R441" s="16"/>
      <c r="S441" s="16"/>
      <c r="T441" s="16"/>
      <c r="U441" s="15"/>
      <c r="V441" s="19">
        <f t="shared" si="89"/>
        <v>9969638.4000000004</v>
      </c>
      <c r="W441" s="20" t="s">
        <v>1174</v>
      </c>
      <c r="X441" s="37">
        <v>0</v>
      </c>
      <c r="Y441" s="37">
        <v>0</v>
      </c>
      <c r="Z441" s="79">
        <v>0</v>
      </c>
      <c r="AA441" s="19">
        <f t="shared" si="91"/>
        <v>9969638.4000000004</v>
      </c>
    </row>
    <row r="442" spans="1:27" s="12" customFormat="1" ht="93.75" customHeight="1" x14ac:dyDescent="0.25">
      <c r="A442" s="17">
        <f>IF(OR(D442=0,D442=""),"",COUNTA($D$306:D442))</f>
        <v>129</v>
      </c>
      <c r="B442" s="17" t="s">
        <v>805</v>
      </c>
      <c r="C442" s="90" t="s">
        <v>99</v>
      </c>
      <c r="D442" s="52">
        <v>1973</v>
      </c>
      <c r="E442" s="46">
        <v>3145.3</v>
      </c>
      <c r="F442" s="46">
        <v>2168.9</v>
      </c>
      <c r="G442" s="16">
        <v>976.4</v>
      </c>
      <c r="H442" s="17" t="s">
        <v>257</v>
      </c>
      <c r="I442" s="15"/>
      <c r="J442" s="16"/>
      <c r="K442" s="16"/>
      <c r="L442" s="16"/>
      <c r="M442" s="16"/>
      <c r="N442" s="16"/>
      <c r="O442" s="16"/>
      <c r="P442" s="16">
        <f>2304*E442</f>
        <v>7246771.2000000002</v>
      </c>
      <c r="Q442" s="16"/>
      <c r="R442" s="16"/>
      <c r="S442" s="16"/>
      <c r="T442" s="16"/>
      <c r="U442" s="15"/>
      <c r="V442" s="19">
        <f t="shared" si="89"/>
        <v>7246771.2000000002</v>
      </c>
      <c r="W442" s="20" t="s">
        <v>1174</v>
      </c>
      <c r="X442" s="37">
        <v>0</v>
      </c>
      <c r="Y442" s="37">
        <v>0</v>
      </c>
      <c r="Z442" s="79">
        <v>0</v>
      </c>
      <c r="AA442" s="19">
        <f t="shared" si="91"/>
        <v>7246771.2000000002</v>
      </c>
    </row>
    <row r="443" spans="1:27" s="12" customFormat="1" ht="93.75" customHeight="1" x14ac:dyDescent="0.25">
      <c r="A443" s="17">
        <f>IF(OR(D443=0,D443=""),"",COUNTA($D$306:D443))</f>
        <v>130</v>
      </c>
      <c r="B443" s="17" t="s">
        <v>964</v>
      </c>
      <c r="C443" s="90" t="s">
        <v>442</v>
      </c>
      <c r="D443" s="52">
        <v>1981</v>
      </c>
      <c r="E443" s="15">
        <v>4838.7</v>
      </c>
      <c r="F443" s="46">
        <v>2964.4</v>
      </c>
      <c r="G443" s="16">
        <v>92.5</v>
      </c>
      <c r="H443" s="17" t="s">
        <v>257</v>
      </c>
      <c r="I443" s="15"/>
      <c r="J443" s="16"/>
      <c r="K443" s="16"/>
      <c r="L443" s="16"/>
      <c r="M443" s="16"/>
      <c r="N443" s="16"/>
      <c r="O443" s="16"/>
      <c r="P443" s="16">
        <f>2304*E443</f>
        <v>11148364.799999999</v>
      </c>
      <c r="Q443" s="16"/>
      <c r="R443" s="16"/>
      <c r="S443" s="16"/>
      <c r="T443" s="16"/>
      <c r="U443" s="15"/>
      <c r="V443" s="19">
        <f t="shared" si="89"/>
        <v>11148364.799999999</v>
      </c>
      <c r="W443" s="20" t="s">
        <v>1174</v>
      </c>
      <c r="X443" s="37">
        <v>0</v>
      </c>
      <c r="Y443" s="37">
        <v>0</v>
      </c>
      <c r="Z443" s="79">
        <v>0</v>
      </c>
      <c r="AA443" s="19">
        <f t="shared" ref="AA443:AA454" si="94">V443-(X443+Y443+Z443)</f>
        <v>11148364.799999999</v>
      </c>
    </row>
    <row r="444" spans="1:27" s="12" customFormat="1" ht="93.75" customHeight="1" x14ac:dyDescent="0.25">
      <c r="A444" s="17">
        <f>IF(OR(D444=0,D444=""),"",COUNTA($D$306:D444))</f>
        <v>131</v>
      </c>
      <c r="B444" s="17" t="s">
        <v>988</v>
      </c>
      <c r="C444" s="90" t="s">
        <v>443</v>
      </c>
      <c r="D444" s="52">
        <v>1973</v>
      </c>
      <c r="E444" s="46">
        <v>8171.2</v>
      </c>
      <c r="F444" s="46">
        <v>5629.1</v>
      </c>
      <c r="G444" s="16">
        <v>678</v>
      </c>
      <c r="H444" s="17" t="s">
        <v>257</v>
      </c>
      <c r="I444" s="15"/>
      <c r="J444" s="16">
        <f>390*E444</f>
        <v>3186768</v>
      </c>
      <c r="K444" s="16"/>
      <c r="L444" s="16"/>
      <c r="M444" s="16"/>
      <c r="N444" s="16"/>
      <c r="O444" s="16"/>
      <c r="P444" s="16">
        <f>2304*E444</f>
        <v>18826444.800000001</v>
      </c>
      <c r="Q444" s="16"/>
      <c r="R444" s="16">
        <f>E444*2694</f>
        <v>22013212.800000001</v>
      </c>
      <c r="S444" s="16"/>
      <c r="T444" s="16"/>
      <c r="U444" s="15"/>
      <c r="V444" s="19">
        <f t="shared" si="89"/>
        <v>44026425.600000001</v>
      </c>
      <c r="W444" s="20" t="s">
        <v>1174</v>
      </c>
      <c r="X444" s="37">
        <v>0</v>
      </c>
      <c r="Y444" s="37">
        <v>0</v>
      </c>
      <c r="Z444" s="79">
        <v>0</v>
      </c>
      <c r="AA444" s="19">
        <f t="shared" si="94"/>
        <v>44026425.600000001</v>
      </c>
    </row>
    <row r="445" spans="1:27" s="12" customFormat="1" ht="93.75" customHeight="1" x14ac:dyDescent="0.25">
      <c r="A445" s="17">
        <f>IF(OR(D445=0,D445=""),"",COUNTA($D$306:D445))</f>
        <v>132</v>
      </c>
      <c r="B445" s="17" t="s">
        <v>770</v>
      </c>
      <c r="C445" s="90" t="s">
        <v>444</v>
      </c>
      <c r="D445" s="52">
        <v>1969</v>
      </c>
      <c r="E445" s="46">
        <v>6104.5</v>
      </c>
      <c r="F445" s="46">
        <v>4315</v>
      </c>
      <c r="G445" s="16">
        <v>341.3</v>
      </c>
      <c r="H445" s="17" t="s">
        <v>257</v>
      </c>
      <c r="I445" s="15"/>
      <c r="J445" s="16"/>
      <c r="K445" s="16"/>
      <c r="L445" s="16"/>
      <c r="M445" s="16"/>
      <c r="N445" s="16"/>
      <c r="O445" s="16"/>
      <c r="P445" s="16">
        <f>2304*E445</f>
        <v>14064768</v>
      </c>
      <c r="Q445" s="16"/>
      <c r="R445" s="16"/>
      <c r="S445" s="16"/>
      <c r="T445" s="16"/>
      <c r="U445" s="15"/>
      <c r="V445" s="19">
        <f t="shared" si="89"/>
        <v>14064768</v>
      </c>
      <c r="W445" s="20" t="s">
        <v>1174</v>
      </c>
      <c r="X445" s="37">
        <v>0</v>
      </c>
      <c r="Y445" s="37">
        <v>0</v>
      </c>
      <c r="Z445" s="79">
        <v>0</v>
      </c>
      <c r="AA445" s="19">
        <f t="shared" si="94"/>
        <v>14064768</v>
      </c>
    </row>
    <row r="446" spans="1:27" s="12" customFormat="1" ht="93.75" customHeight="1" x14ac:dyDescent="0.25">
      <c r="A446" s="17">
        <f>IF(OR(D446=0,D446=""),"",COUNTA($D$306:D446))</f>
        <v>133</v>
      </c>
      <c r="B446" s="17" t="s">
        <v>966</v>
      </c>
      <c r="C446" s="90" t="s">
        <v>445</v>
      </c>
      <c r="D446" s="52">
        <v>1969</v>
      </c>
      <c r="E446" s="46">
        <v>7523.4</v>
      </c>
      <c r="F446" s="46">
        <v>5721.6</v>
      </c>
      <c r="G446" s="16">
        <v>0</v>
      </c>
      <c r="H446" s="17" t="s">
        <v>257</v>
      </c>
      <c r="I446" s="15"/>
      <c r="J446" s="16"/>
      <c r="K446" s="16"/>
      <c r="L446" s="16"/>
      <c r="M446" s="16"/>
      <c r="N446" s="16"/>
      <c r="O446" s="16"/>
      <c r="P446" s="16"/>
      <c r="Q446" s="16"/>
      <c r="R446" s="16">
        <f>E446*2694</f>
        <v>20268039.599999998</v>
      </c>
      <c r="S446" s="16"/>
      <c r="T446" s="16"/>
      <c r="U446" s="15"/>
      <c r="V446" s="19">
        <f t="shared" si="89"/>
        <v>20268039.599999998</v>
      </c>
      <c r="W446" s="20" t="s">
        <v>1174</v>
      </c>
      <c r="X446" s="37">
        <v>0</v>
      </c>
      <c r="Y446" s="37">
        <v>0</v>
      </c>
      <c r="Z446" s="79">
        <v>0</v>
      </c>
      <c r="AA446" s="19">
        <f t="shared" si="94"/>
        <v>20268039.599999998</v>
      </c>
    </row>
    <row r="447" spans="1:27" s="12" customFormat="1" ht="93.75" customHeight="1" x14ac:dyDescent="0.25">
      <c r="A447" s="17">
        <f>IF(OR(D447=0,D447=""),"",COUNTA($D$306:D447))</f>
        <v>134</v>
      </c>
      <c r="B447" s="17" t="s">
        <v>718</v>
      </c>
      <c r="C447" s="95" t="s">
        <v>286</v>
      </c>
      <c r="D447" s="52">
        <v>1983</v>
      </c>
      <c r="E447" s="46">
        <v>30558</v>
      </c>
      <c r="F447" s="46">
        <v>22726.7</v>
      </c>
      <c r="G447" s="16">
        <v>0</v>
      </c>
      <c r="H447" s="17" t="s">
        <v>255</v>
      </c>
      <c r="I447" s="15"/>
      <c r="J447" s="16"/>
      <c r="K447" s="16">
        <f>854*E447</f>
        <v>26096532</v>
      </c>
      <c r="L447" s="16"/>
      <c r="M447" s="16">
        <f>E447*209</f>
        <v>6386622</v>
      </c>
      <c r="N447" s="16"/>
      <c r="O447" s="16"/>
      <c r="P447" s="16"/>
      <c r="Q447" s="16"/>
      <c r="R447" s="16"/>
      <c r="S447" s="16"/>
      <c r="T447" s="16"/>
      <c r="U447" s="15"/>
      <c r="V447" s="19">
        <f t="shared" si="89"/>
        <v>32483154</v>
      </c>
      <c r="W447" s="20" t="s">
        <v>1174</v>
      </c>
      <c r="X447" s="37">
        <v>0</v>
      </c>
      <c r="Y447" s="37">
        <v>0</v>
      </c>
      <c r="Z447" s="79">
        <v>0</v>
      </c>
      <c r="AA447" s="19">
        <f t="shared" si="94"/>
        <v>32483154</v>
      </c>
    </row>
    <row r="448" spans="1:27" s="12" customFormat="1" ht="93.75" customHeight="1" x14ac:dyDescent="0.25">
      <c r="A448" s="17">
        <f>IF(OR(D448=0,D448=""),"",COUNTA($D$306:D448))</f>
        <v>135</v>
      </c>
      <c r="B448" s="17" t="s">
        <v>738</v>
      </c>
      <c r="C448" s="95" t="s">
        <v>65</v>
      </c>
      <c r="D448" s="15">
        <v>1991</v>
      </c>
      <c r="E448" s="46">
        <v>20009.3</v>
      </c>
      <c r="F448" s="46">
        <v>17043.400000000001</v>
      </c>
      <c r="G448" s="16">
        <v>0</v>
      </c>
      <c r="H448" s="17" t="s">
        <v>255</v>
      </c>
      <c r="I448" s="15"/>
      <c r="J448" s="16"/>
      <c r="K448" s="16">
        <f>854*E448</f>
        <v>17087942.199999999</v>
      </c>
      <c r="L448" s="16"/>
      <c r="M448" s="16"/>
      <c r="N448" s="16"/>
      <c r="O448" s="16"/>
      <c r="P448" s="16"/>
      <c r="Q448" s="16"/>
      <c r="R448" s="16"/>
      <c r="S448" s="16"/>
      <c r="T448" s="16"/>
      <c r="U448" s="15"/>
      <c r="V448" s="19">
        <f t="shared" si="89"/>
        <v>17087942.199999999</v>
      </c>
      <c r="W448" s="20" t="s">
        <v>1174</v>
      </c>
      <c r="X448" s="37">
        <v>2023356.65</v>
      </c>
      <c r="Y448" s="37">
        <v>0</v>
      </c>
      <c r="Z448" s="79">
        <v>0</v>
      </c>
      <c r="AA448" s="19">
        <f t="shared" si="94"/>
        <v>15064585.549999999</v>
      </c>
    </row>
    <row r="449" spans="1:27" s="12" customFormat="1" ht="93.75" customHeight="1" x14ac:dyDescent="0.25">
      <c r="A449" s="17">
        <f>IF(OR(D449=0,D449=""),"",COUNTA($D$306:D449))</f>
        <v>136</v>
      </c>
      <c r="B449" s="17" t="s">
        <v>992</v>
      </c>
      <c r="C449" s="95" t="s">
        <v>334</v>
      </c>
      <c r="D449" s="52">
        <v>1970</v>
      </c>
      <c r="E449" s="46">
        <v>4715.5</v>
      </c>
      <c r="F449" s="46">
        <v>995.3</v>
      </c>
      <c r="G449" s="16">
        <v>202.3</v>
      </c>
      <c r="H449" s="17" t="s">
        <v>257</v>
      </c>
      <c r="I449" s="15"/>
      <c r="J449" s="16"/>
      <c r="K449" s="16"/>
      <c r="L449" s="16"/>
      <c r="M449" s="16"/>
      <c r="N449" s="16"/>
      <c r="O449" s="16"/>
      <c r="P449" s="16"/>
      <c r="Q449" s="16"/>
      <c r="R449" s="16">
        <f>E449*2694</f>
        <v>12703557</v>
      </c>
      <c r="S449" s="16"/>
      <c r="T449" s="16"/>
      <c r="U449" s="15"/>
      <c r="V449" s="19">
        <f t="shared" si="89"/>
        <v>12703557</v>
      </c>
      <c r="W449" s="20" t="s">
        <v>1174</v>
      </c>
      <c r="X449" s="37">
        <v>0</v>
      </c>
      <c r="Y449" s="37">
        <v>0</v>
      </c>
      <c r="Z449" s="79">
        <v>0</v>
      </c>
      <c r="AA449" s="19">
        <f t="shared" si="94"/>
        <v>12703557</v>
      </c>
    </row>
    <row r="450" spans="1:27" s="12" customFormat="1" ht="93.75" customHeight="1" x14ac:dyDescent="0.25">
      <c r="A450" s="17">
        <f>IF(OR(D450=0,D450=""),"",COUNTA($D$306:D450))</f>
        <v>137</v>
      </c>
      <c r="B450" s="17" t="s">
        <v>734</v>
      </c>
      <c r="C450" s="90" t="s">
        <v>62</v>
      </c>
      <c r="D450" s="43">
        <v>1964</v>
      </c>
      <c r="E450" s="16">
        <v>3834.6</v>
      </c>
      <c r="F450" s="16">
        <v>2583.5</v>
      </c>
      <c r="G450" s="16">
        <v>0</v>
      </c>
      <c r="H450" s="17" t="s">
        <v>257</v>
      </c>
      <c r="I450" s="15"/>
      <c r="J450" s="16">
        <f>390*E450</f>
        <v>1495494</v>
      </c>
      <c r="K450" s="16">
        <f>1145*E450</f>
        <v>4390617</v>
      </c>
      <c r="L450" s="16"/>
      <c r="M450" s="16">
        <f>826*E450</f>
        <v>3167379.6</v>
      </c>
      <c r="N450" s="16">
        <f>367*E450</f>
        <v>1407298.2</v>
      </c>
      <c r="O450" s="16"/>
      <c r="P450" s="16"/>
      <c r="Q450" s="16">
        <f>E450*289</f>
        <v>1108199.3999999999</v>
      </c>
      <c r="R450" s="16"/>
      <c r="S450" s="16">
        <f>102*E450</f>
        <v>391129.2</v>
      </c>
      <c r="T450" s="16"/>
      <c r="U450" s="16">
        <f t="shared" ref="U450" si="95">(J450+K450+L450+M450+N450+O450+P450+Q450+R450+S450+T450)*0.0214</f>
        <v>255946.51235999996</v>
      </c>
      <c r="V450" s="19">
        <f t="shared" si="89"/>
        <v>12216063.912359998</v>
      </c>
      <c r="W450" s="20" t="s">
        <v>1174</v>
      </c>
      <c r="X450" s="37">
        <v>0</v>
      </c>
      <c r="Y450" s="37">
        <v>0</v>
      </c>
      <c r="Z450" s="79">
        <v>0</v>
      </c>
      <c r="AA450" s="19">
        <f t="shared" si="94"/>
        <v>12216063.912359998</v>
      </c>
    </row>
    <row r="451" spans="1:27" s="12" customFormat="1" ht="93.75" customHeight="1" x14ac:dyDescent="0.25">
      <c r="A451" s="17">
        <f>IF(OR(D451=0,D451=""),"",COUNTA($D$306:D451))</f>
        <v>138</v>
      </c>
      <c r="B451" s="17" t="s">
        <v>888</v>
      </c>
      <c r="C451" s="90" t="s">
        <v>151</v>
      </c>
      <c r="D451" s="43">
        <v>1964</v>
      </c>
      <c r="E451" s="16">
        <v>1375.7</v>
      </c>
      <c r="F451" s="16">
        <v>1278.7</v>
      </c>
      <c r="G451" s="16">
        <v>97</v>
      </c>
      <c r="H451" s="17" t="s">
        <v>256</v>
      </c>
      <c r="I451" s="15"/>
      <c r="J451" s="16">
        <f>390*E451</f>
        <v>536523</v>
      </c>
      <c r="K451" s="16">
        <f>1145*E451</f>
        <v>1575176.5</v>
      </c>
      <c r="L451" s="16"/>
      <c r="M451" s="16"/>
      <c r="N451" s="16"/>
      <c r="O451" s="16"/>
      <c r="P451" s="16"/>
      <c r="Q451" s="16"/>
      <c r="R451" s="16"/>
      <c r="S451" s="16"/>
      <c r="T451" s="16"/>
      <c r="U451" s="16">
        <f t="shared" ref="U451:U452" si="96">(J451+K451+L451+M451+N451+O451+P451+Q451+R451+S451+T451)*0.0214</f>
        <v>45190.369299999998</v>
      </c>
      <c r="V451" s="19">
        <f t="shared" si="89"/>
        <v>2156889.8692999999</v>
      </c>
      <c r="W451" s="20" t="s">
        <v>1174</v>
      </c>
      <c r="X451" s="37">
        <v>0</v>
      </c>
      <c r="Y451" s="37">
        <v>0</v>
      </c>
      <c r="Z451" s="79">
        <v>0</v>
      </c>
      <c r="AA451" s="19">
        <f t="shared" si="94"/>
        <v>2156889.8692999999</v>
      </c>
    </row>
    <row r="452" spans="1:27" s="12" customFormat="1" ht="93.75" customHeight="1" x14ac:dyDescent="0.25">
      <c r="A452" s="17">
        <f>IF(OR(D452=0,D452=""),"",COUNTA($D$306:D452))</f>
        <v>139</v>
      </c>
      <c r="B452" s="17" t="s">
        <v>934</v>
      </c>
      <c r="C452" s="90" t="s">
        <v>172</v>
      </c>
      <c r="D452" s="43">
        <v>1964</v>
      </c>
      <c r="E452" s="16">
        <v>3205.1</v>
      </c>
      <c r="F452" s="16">
        <v>2477.6999999999998</v>
      </c>
      <c r="G452" s="16">
        <v>0</v>
      </c>
      <c r="H452" s="17" t="s">
        <v>257</v>
      </c>
      <c r="I452" s="15"/>
      <c r="J452" s="16">
        <f>390*E452</f>
        <v>1249989</v>
      </c>
      <c r="K452" s="16">
        <f>1145*E452</f>
        <v>3669839.5</v>
      </c>
      <c r="L452" s="16"/>
      <c r="M452" s="16">
        <f>826*E452</f>
        <v>2647412.6</v>
      </c>
      <c r="N452" s="16">
        <f>367*E452</f>
        <v>1176271.7</v>
      </c>
      <c r="O452" s="16"/>
      <c r="P452" s="16"/>
      <c r="Q452" s="16"/>
      <c r="R452" s="16"/>
      <c r="S452" s="16"/>
      <c r="T452" s="16"/>
      <c r="U452" s="16">
        <f t="shared" si="96"/>
        <v>187111.17391999997</v>
      </c>
      <c r="V452" s="19">
        <f t="shared" ref="V452:V457" si="97">J452+K452+L452+M452+N452+O452+P452+Q452+R452+S452+T452+U452</f>
        <v>8930623.9739199989</v>
      </c>
      <c r="W452" s="20" t="s">
        <v>1174</v>
      </c>
      <c r="X452" s="37">
        <v>0</v>
      </c>
      <c r="Y452" s="37">
        <v>0</v>
      </c>
      <c r="Z452" s="79">
        <v>0</v>
      </c>
      <c r="AA452" s="19">
        <f t="shared" si="94"/>
        <v>8930623.9739199989</v>
      </c>
    </row>
    <row r="453" spans="1:27" s="12" customFormat="1" ht="93.75" customHeight="1" x14ac:dyDescent="0.25">
      <c r="A453" s="17">
        <f>IF(OR(D453=0,D453=""),"",COUNTA($D$306:D453))</f>
        <v>140</v>
      </c>
      <c r="B453" s="17" t="s">
        <v>902</v>
      </c>
      <c r="C453" s="90" t="s">
        <v>158</v>
      </c>
      <c r="D453" s="43">
        <v>1965</v>
      </c>
      <c r="E453" s="16">
        <v>4294.7</v>
      </c>
      <c r="F453" s="16">
        <v>3165.7</v>
      </c>
      <c r="G453" s="16">
        <v>0</v>
      </c>
      <c r="H453" s="17" t="s">
        <v>257</v>
      </c>
      <c r="I453" s="15"/>
      <c r="J453" s="16">
        <f>390*E453</f>
        <v>1674933</v>
      </c>
      <c r="K453" s="16"/>
      <c r="L453" s="16"/>
      <c r="M453" s="16"/>
      <c r="N453" s="16">
        <f>367*E453</f>
        <v>1576154.9</v>
      </c>
      <c r="O453" s="16"/>
      <c r="P453" s="16"/>
      <c r="Q453" s="16"/>
      <c r="R453" s="16"/>
      <c r="S453" s="16"/>
      <c r="T453" s="16"/>
      <c r="U453" s="16">
        <f t="shared" ref="U453" si="98">(J453+K453+L453+M453+N453+O453+P453+Q453+R453+S453+T453)*0.0214</f>
        <v>69573.281059999994</v>
      </c>
      <c r="V453" s="19">
        <f t="shared" si="97"/>
        <v>3320661.1810599999</v>
      </c>
      <c r="W453" s="20" t="s">
        <v>1174</v>
      </c>
      <c r="X453" s="37">
        <v>0</v>
      </c>
      <c r="Y453" s="37">
        <v>0</v>
      </c>
      <c r="Z453" s="79">
        <v>0</v>
      </c>
      <c r="AA453" s="19">
        <f t="shared" si="94"/>
        <v>3320661.1810599999</v>
      </c>
    </row>
    <row r="454" spans="1:27" s="12" customFormat="1" ht="93.75" customHeight="1" x14ac:dyDescent="0.25">
      <c r="A454" s="17">
        <f>IF(OR(D454=0,D454=""),"",COUNTA($D$306:D454))</f>
        <v>141</v>
      </c>
      <c r="B454" s="17" t="s">
        <v>827</v>
      </c>
      <c r="C454" s="90" t="s">
        <v>400</v>
      </c>
      <c r="D454" s="43">
        <v>1975</v>
      </c>
      <c r="E454" s="16">
        <v>2356.3000000000002</v>
      </c>
      <c r="F454" s="16">
        <v>1743.9</v>
      </c>
      <c r="G454" s="16">
        <v>0</v>
      </c>
      <c r="H454" s="17" t="s">
        <v>257</v>
      </c>
      <c r="I454" s="15"/>
      <c r="J454" s="16"/>
      <c r="K454" s="16"/>
      <c r="L454" s="16"/>
      <c r="M454" s="16"/>
      <c r="N454" s="16"/>
      <c r="O454" s="16"/>
      <c r="P454" s="16">
        <f>2304*E454</f>
        <v>5428915.2000000002</v>
      </c>
      <c r="Q454" s="16"/>
      <c r="R454" s="16"/>
      <c r="S454" s="16"/>
      <c r="T454" s="16"/>
      <c r="U454" s="15"/>
      <c r="V454" s="19">
        <f t="shared" si="97"/>
        <v>5428915.2000000002</v>
      </c>
      <c r="W454" s="20" t="s">
        <v>1174</v>
      </c>
      <c r="X454" s="37">
        <v>0</v>
      </c>
      <c r="Y454" s="37">
        <v>0</v>
      </c>
      <c r="Z454" s="79">
        <v>0</v>
      </c>
      <c r="AA454" s="19">
        <f t="shared" si="94"/>
        <v>5428915.2000000002</v>
      </c>
    </row>
    <row r="455" spans="1:27" s="12" customFormat="1" ht="93.75" customHeight="1" x14ac:dyDescent="0.25">
      <c r="A455" s="17">
        <f>IF(OR(D455=0,D455=""),"",COUNTA($D$306:D455))</f>
        <v>142</v>
      </c>
      <c r="B455" s="17" t="s">
        <v>989</v>
      </c>
      <c r="C455" s="90" t="s">
        <v>452</v>
      </c>
      <c r="D455" s="43">
        <v>1980</v>
      </c>
      <c r="E455" s="16">
        <v>8121.9</v>
      </c>
      <c r="F455" s="16">
        <v>5709.4</v>
      </c>
      <c r="G455" s="16">
        <v>1765.1</v>
      </c>
      <c r="H455" s="17" t="s">
        <v>257</v>
      </c>
      <c r="I455" s="15"/>
      <c r="J455" s="16"/>
      <c r="K455" s="16"/>
      <c r="L455" s="16"/>
      <c r="M455" s="18"/>
      <c r="N455" s="16"/>
      <c r="O455" s="16"/>
      <c r="P455" s="16"/>
      <c r="Q455" s="16"/>
      <c r="R455" s="16">
        <f>E455*2694</f>
        <v>21880398.599999998</v>
      </c>
      <c r="S455" s="16"/>
      <c r="T455" s="16"/>
      <c r="U455" s="16"/>
      <c r="V455" s="19">
        <f t="shared" si="97"/>
        <v>21880398.599999998</v>
      </c>
      <c r="W455" s="20" t="s">
        <v>1174</v>
      </c>
      <c r="X455" s="37">
        <v>0</v>
      </c>
      <c r="Y455" s="37">
        <v>0</v>
      </c>
      <c r="Z455" s="79">
        <v>0</v>
      </c>
      <c r="AA455" s="19">
        <f t="shared" ref="AA455:AA458" si="99">V455-(X455+Y455+Z455)</f>
        <v>21880398.599999998</v>
      </c>
    </row>
    <row r="456" spans="1:27" s="12" customFormat="1" ht="93.75" customHeight="1" x14ac:dyDescent="0.25">
      <c r="A456" s="17">
        <f>IF(OR(D456=0,D456=""),"",COUNTA($D$306:D456))</f>
        <v>143</v>
      </c>
      <c r="B456" s="17" t="s">
        <v>838</v>
      </c>
      <c r="C456" s="93" t="s">
        <v>120</v>
      </c>
      <c r="D456" s="59">
        <v>1968</v>
      </c>
      <c r="E456" s="47">
        <v>5736.7</v>
      </c>
      <c r="F456" s="47">
        <v>4410.1000000000004</v>
      </c>
      <c r="G456" s="47">
        <v>0</v>
      </c>
      <c r="H456" s="17" t="s">
        <v>257</v>
      </c>
      <c r="I456" s="58"/>
      <c r="J456" s="16">
        <f>390*E456</f>
        <v>2237313</v>
      </c>
      <c r="K456" s="16">
        <f>1145*E456</f>
        <v>6568521.5</v>
      </c>
      <c r="L456" s="16"/>
      <c r="M456" s="16">
        <f>826*E456</f>
        <v>4738514.2</v>
      </c>
      <c r="N456" s="16"/>
      <c r="O456" s="47"/>
      <c r="P456" s="47"/>
      <c r="Q456" s="47"/>
      <c r="R456" s="47"/>
      <c r="S456" s="47"/>
      <c r="T456" s="47"/>
      <c r="U456" s="15"/>
      <c r="V456" s="19">
        <f t="shared" si="97"/>
        <v>13544348.699999999</v>
      </c>
      <c r="W456" s="20" t="s">
        <v>1174</v>
      </c>
      <c r="X456" s="37">
        <v>0</v>
      </c>
      <c r="Y456" s="37">
        <v>0</v>
      </c>
      <c r="Z456" s="79">
        <v>0</v>
      </c>
      <c r="AA456" s="19">
        <f t="shared" si="99"/>
        <v>13544348.699999999</v>
      </c>
    </row>
    <row r="457" spans="1:27" s="12" customFormat="1" ht="93.75" customHeight="1" x14ac:dyDescent="0.25">
      <c r="A457" s="17">
        <f>IF(OR(D457=0,D457=""),"",COUNTA($D$306:D457))</f>
        <v>144</v>
      </c>
      <c r="B457" s="17" t="s">
        <v>954</v>
      </c>
      <c r="C457" s="93" t="s">
        <v>465</v>
      </c>
      <c r="D457" s="59">
        <v>1978</v>
      </c>
      <c r="E457" s="47">
        <v>4523.8999999999996</v>
      </c>
      <c r="F457" s="47">
        <v>3340.2</v>
      </c>
      <c r="G457" s="47">
        <v>0</v>
      </c>
      <c r="H457" s="17" t="s">
        <v>257</v>
      </c>
      <c r="I457" s="58"/>
      <c r="J457" s="47"/>
      <c r="K457" s="47"/>
      <c r="L457" s="16"/>
      <c r="M457" s="18"/>
      <c r="N457" s="16"/>
      <c r="O457" s="47"/>
      <c r="P457" s="16">
        <f>2304*E457</f>
        <v>10423065.6</v>
      </c>
      <c r="Q457" s="47"/>
      <c r="R457" s="47"/>
      <c r="S457" s="47"/>
      <c r="T457" s="47"/>
      <c r="U457" s="15"/>
      <c r="V457" s="19">
        <f t="shared" si="97"/>
        <v>10423065.6</v>
      </c>
      <c r="W457" s="20" t="s">
        <v>1174</v>
      </c>
      <c r="X457" s="37">
        <v>0</v>
      </c>
      <c r="Y457" s="37">
        <v>0</v>
      </c>
      <c r="Z457" s="79">
        <v>0</v>
      </c>
      <c r="AA457" s="19">
        <f t="shared" si="99"/>
        <v>10423065.6</v>
      </c>
    </row>
    <row r="458" spans="1:27" s="13" customFormat="1" ht="93.75" customHeight="1" x14ac:dyDescent="0.25">
      <c r="A458" s="17" t="str">
        <f>IF(OR(D458=0,D458=""),"",COUNTA($D$306:D458))</f>
        <v/>
      </c>
      <c r="B458" s="17"/>
      <c r="C458" s="89"/>
      <c r="D458" s="21"/>
      <c r="E458" s="26">
        <f>SUM(E348:E457)</f>
        <v>769467.69</v>
      </c>
      <c r="F458" s="26">
        <f>SUM(F348:F457)</f>
        <v>548481.57999999973</v>
      </c>
      <c r="G458" s="26">
        <f>SUM(G348:G457)</f>
        <v>48177.159999999996</v>
      </c>
      <c r="H458" s="17"/>
      <c r="I458" s="15"/>
      <c r="J458" s="26"/>
      <c r="K458" s="26"/>
      <c r="L458" s="26"/>
      <c r="M458" s="29"/>
      <c r="N458" s="26"/>
      <c r="O458" s="26"/>
      <c r="P458" s="26"/>
      <c r="Q458" s="26"/>
      <c r="R458" s="26"/>
      <c r="S458" s="26"/>
      <c r="T458" s="26"/>
      <c r="U458" s="17"/>
      <c r="V458" s="26">
        <f>SUM(V348:V457)</f>
        <v>1373299878.58144</v>
      </c>
      <c r="W458" s="26"/>
      <c r="X458" s="26">
        <f>SUM(X348:X457)</f>
        <v>10741718.220000001</v>
      </c>
      <c r="Y458" s="26">
        <f>SUM(Y348:Y457)</f>
        <v>0</v>
      </c>
      <c r="Z458" s="80">
        <f>SUM(Z348:Z457)</f>
        <v>0</v>
      </c>
      <c r="AA458" s="28">
        <f t="shared" si="99"/>
        <v>1362558160.3614399</v>
      </c>
    </row>
    <row r="459" spans="1:27" s="12" customFormat="1" ht="93.75" customHeight="1" x14ac:dyDescent="0.25">
      <c r="A459" s="17" t="str">
        <f>IF(OR(D459=0,D459=""),"",COUNTA($D$306:D459))</f>
        <v/>
      </c>
      <c r="B459" s="17"/>
      <c r="C459" s="89" t="s">
        <v>1189</v>
      </c>
      <c r="D459" s="43"/>
      <c r="E459" s="16"/>
      <c r="F459" s="16"/>
      <c r="G459" s="16"/>
      <c r="H459" s="17"/>
      <c r="I459" s="15"/>
      <c r="J459" s="16"/>
      <c r="K459" s="16"/>
      <c r="L459" s="16"/>
      <c r="M459" s="18"/>
      <c r="N459" s="16"/>
      <c r="O459" s="16"/>
      <c r="P459" s="16"/>
      <c r="Q459" s="16"/>
      <c r="R459" s="16"/>
      <c r="S459" s="16"/>
      <c r="T459" s="16"/>
      <c r="U459" s="15"/>
      <c r="V459" s="19"/>
      <c r="W459" s="20"/>
      <c r="X459" s="37"/>
      <c r="Y459" s="37"/>
      <c r="Z459" s="20"/>
      <c r="AA459" s="19"/>
    </row>
    <row r="460" spans="1:27" s="12" customFormat="1" ht="93.75" customHeight="1" x14ac:dyDescent="0.25">
      <c r="A460" s="17">
        <f>IF(OR(D460=0,D460=""),"",COUNTA($D$306:D460))</f>
        <v>145</v>
      </c>
      <c r="B460" s="17" t="s">
        <v>1069</v>
      </c>
      <c r="C460" s="90" t="s">
        <v>600</v>
      </c>
      <c r="D460" s="43">
        <v>1982</v>
      </c>
      <c r="E460" s="16">
        <v>19464.490000000002</v>
      </c>
      <c r="F460" s="16">
        <v>10988.52</v>
      </c>
      <c r="G460" s="16">
        <v>8475.9599999999991</v>
      </c>
      <c r="H460" s="17" t="s">
        <v>255</v>
      </c>
      <c r="I460" s="15">
        <v>6</v>
      </c>
      <c r="J460" s="16"/>
      <c r="K460" s="16"/>
      <c r="L460" s="16"/>
      <c r="M460" s="18"/>
      <c r="N460" s="16"/>
      <c r="O460" s="16">
        <f t="shared" ref="O460:O461" si="100">2900000*I460</f>
        <v>17400000</v>
      </c>
      <c r="P460" s="16"/>
      <c r="Q460" s="16"/>
      <c r="R460" s="16"/>
      <c r="S460" s="16"/>
      <c r="T460" s="16">
        <f>48*E460</f>
        <v>934295.52</v>
      </c>
      <c r="U460" s="16"/>
      <c r="V460" s="19">
        <f t="shared" ref="V460:V461" si="101">J460+K460+L460+M460+N460+O460+P460+Q460+R460+S460+T460+U460</f>
        <v>18334295.52</v>
      </c>
      <c r="W460" s="20" t="s">
        <v>1174</v>
      </c>
      <c r="X460" s="37">
        <v>0</v>
      </c>
      <c r="Y460" s="37">
        <v>0</v>
      </c>
      <c r="Z460" s="79">
        <v>0</v>
      </c>
      <c r="AA460" s="19">
        <f t="shared" ref="AA460:AA462" si="102">V460-(X460+Y460+Z460)</f>
        <v>18334295.52</v>
      </c>
    </row>
    <row r="461" spans="1:27" s="12" customFormat="1" ht="93.75" customHeight="1" x14ac:dyDescent="0.25">
      <c r="A461" s="17">
        <f>IF(OR(D461=0,D461=""),"",COUNTA($D$306:D461))</f>
        <v>146</v>
      </c>
      <c r="B461" s="17" t="s">
        <v>1070</v>
      </c>
      <c r="C461" s="90" t="s">
        <v>607</v>
      </c>
      <c r="D461" s="43">
        <v>1985</v>
      </c>
      <c r="E461" s="16">
        <v>19464.490000000002</v>
      </c>
      <c r="F461" s="16">
        <v>11298.9</v>
      </c>
      <c r="G461" s="16">
        <v>8120.49</v>
      </c>
      <c r="H461" s="17" t="s">
        <v>255</v>
      </c>
      <c r="I461" s="15">
        <v>6</v>
      </c>
      <c r="J461" s="16"/>
      <c r="K461" s="16"/>
      <c r="L461" s="16"/>
      <c r="M461" s="18"/>
      <c r="N461" s="16"/>
      <c r="O461" s="16">
        <f t="shared" si="100"/>
        <v>17400000</v>
      </c>
      <c r="P461" s="16"/>
      <c r="Q461" s="16"/>
      <c r="R461" s="16"/>
      <c r="S461" s="16"/>
      <c r="T461" s="16">
        <f>48*E461</f>
        <v>934295.52</v>
      </c>
      <c r="U461" s="16"/>
      <c r="V461" s="19">
        <f t="shared" si="101"/>
        <v>18334295.52</v>
      </c>
      <c r="W461" s="20" t="s">
        <v>1174</v>
      </c>
      <c r="X461" s="37">
        <v>0</v>
      </c>
      <c r="Y461" s="37">
        <v>0</v>
      </c>
      <c r="Z461" s="79">
        <v>0</v>
      </c>
      <c r="AA461" s="19">
        <f t="shared" si="102"/>
        <v>18334295.52</v>
      </c>
    </row>
    <row r="462" spans="1:27" s="13" customFormat="1" ht="93.75" customHeight="1" x14ac:dyDescent="0.25">
      <c r="A462" s="17" t="str">
        <f>IF(OR(D462=0,D462=""),"",COUNTA($D$306:D462))</f>
        <v/>
      </c>
      <c r="B462" s="17"/>
      <c r="C462" s="89"/>
      <c r="D462" s="21"/>
      <c r="E462" s="26">
        <f>SUM(E460:E461)</f>
        <v>38928.980000000003</v>
      </c>
      <c r="F462" s="26">
        <f>SUM(F460:F461)</f>
        <v>22287.42</v>
      </c>
      <c r="G462" s="26">
        <f>SUM(G460:G461)</f>
        <v>16596.449999999997</v>
      </c>
      <c r="H462" s="17"/>
      <c r="I462" s="15"/>
      <c r="J462" s="26"/>
      <c r="K462" s="26"/>
      <c r="L462" s="26"/>
      <c r="M462" s="29"/>
      <c r="N462" s="26"/>
      <c r="O462" s="26"/>
      <c r="P462" s="26"/>
      <c r="Q462" s="26"/>
      <c r="R462" s="26"/>
      <c r="S462" s="26"/>
      <c r="T462" s="26"/>
      <c r="U462" s="17"/>
      <c r="V462" s="28">
        <f>SUM(V460:V461)</f>
        <v>36668591.039999999</v>
      </c>
      <c r="W462" s="28"/>
      <c r="X462" s="28">
        <f>SUM(X460:X461)</f>
        <v>0</v>
      </c>
      <c r="Y462" s="28">
        <f>SUM(Y460:Y461)</f>
        <v>0</v>
      </c>
      <c r="Z462" s="81">
        <f>SUM(Z460:Z461)</f>
        <v>0</v>
      </c>
      <c r="AA462" s="28">
        <f t="shared" si="102"/>
        <v>36668591.039999999</v>
      </c>
    </row>
    <row r="463" spans="1:27" s="13" customFormat="1" ht="93.75" customHeight="1" x14ac:dyDescent="0.25">
      <c r="A463" s="17" t="str">
        <f>IF(OR(D463=0,D463=""),"",COUNTA($D$306:D463))</f>
        <v/>
      </c>
      <c r="B463" s="17"/>
      <c r="C463" s="89" t="s">
        <v>1215</v>
      </c>
      <c r="D463" s="21"/>
      <c r="E463" s="26"/>
      <c r="F463" s="26"/>
      <c r="G463" s="26"/>
      <c r="H463" s="17"/>
      <c r="I463" s="15"/>
      <c r="J463" s="26"/>
      <c r="K463" s="26"/>
      <c r="L463" s="26"/>
      <c r="M463" s="29"/>
      <c r="N463" s="26"/>
      <c r="O463" s="26"/>
      <c r="P463" s="26"/>
      <c r="Q463" s="26"/>
      <c r="R463" s="26"/>
      <c r="S463" s="26"/>
      <c r="T463" s="26"/>
      <c r="U463" s="17"/>
      <c r="V463" s="28"/>
      <c r="W463" s="31"/>
      <c r="X463" s="37"/>
      <c r="Y463" s="37"/>
      <c r="Z463" s="20"/>
      <c r="AA463" s="28"/>
    </row>
    <row r="464" spans="1:27" s="13" customFormat="1" ht="93.6" customHeight="1" x14ac:dyDescent="0.25">
      <c r="A464" s="17">
        <f>IF(OR(D464=0,D464=""),"",COUNTA($D$306:D464))</f>
        <v>147</v>
      </c>
      <c r="B464" s="17" t="s">
        <v>1054</v>
      </c>
      <c r="C464" s="93" t="s">
        <v>222</v>
      </c>
      <c r="D464" s="59">
        <v>1971</v>
      </c>
      <c r="E464" s="47">
        <v>5351.9</v>
      </c>
      <c r="F464" s="47">
        <v>3833.6</v>
      </c>
      <c r="G464" s="47">
        <v>0</v>
      </c>
      <c r="H464" s="17" t="s">
        <v>257</v>
      </c>
      <c r="I464" s="56"/>
      <c r="J464" s="26"/>
      <c r="K464" s="26"/>
      <c r="L464" s="26"/>
      <c r="M464" s="29"/>
      <c r="N464" s="26"/>
      <c r="O464" s="16"/>
      <c r="P464" s="47"/>
      <c r="Q464" s="47"/>
      <c r="R464" s="47"/>
      <c r="S464" s="16">
        <f>102*E464</f>
        <v>545893.79999999993</v>
      </c>
      <c r="T464" s="16"/>
      <c r="U464" s="17"/>
      <c r="V464" s="19">
        <f t="shared" ref="V464:V478" si="103">J464+K464+L464+M464+N464+O464+P464+Q464+R464+S464+T464+U464</f>
        <v>545893.79999999993</v>
      </c>
      <c r="W464" s="20" t="s">
        <v>1174</v>
      </c>
      <c r="X464" s="37">
        <v>0</v>
      </c>
      <c r="Y464" s="37">
        <v>0</v>
      </c>
      <c r="Z464" s="79">
        <v>0</v>
      </c>
      <c r="AA464" s="19">
        <f t="shared" ref="AA464:AA479" si="104">V464-(X464+Y464+Z464)</f>
        <v>545893.79999999993</v>
      </c>
    </row>
    <row r="465" spans="1:27" s="13" customFormat="1" ht="93.6" customHeight="1" x14ac:dyDescent="0.25">
      <c r="A465" s="17">
        <f>IF(OR(D465=0,D465=""),"",COUNTA($D$306:D465))</f>
        <v>148</v>
      </c>
      <c r="B465" s="17" t="s">
        <v>1047</v>
      </c>
      <c r="C465" s="90" t="s">
        <v>327</v>
      </c>
      <c r="D465" s="43">
        <v>1973</v>
      </c>
      <c r="E465" s="16">
        <v>5131.3</v>
      </c>
      <c r="F465" s="16">
        <v>2634.7</v>
      </c>
      <c r="G465" s="16">
        <v>1413</v>
      </c>
      <c r="H465" s="17" t="s">
        <v>257</v>
      </c>
      <c r="I465" s="15"/>
      <c r="J465" s="16">
        <f>390*E465</f>
        <v>2001207</v>
      </c>
      <c r="K465" s="16">
        <f>1145*E465</f>
        <v>5875338.5</v>
      </c>
      <c r="L465" s="26"/>
      <c r="M465" s="16">
        <f>826*E465</f>
        <v>4238453.8</v>
      </c>
      <c r="N465" s="16">
        <f>367*E465</f>
        <v>1883187.1</v>
      </c>
      <c r="O465" s="16"/>
      <c r="P465" s="47"/>
      <c r="Q465" s="47"/>
      <c r="R465" s="47"/>
      <c r="S465" s="47"/>
      <c r="T465" s="47"/>
      <c r="U465" s="17"/>
      <c r="V465" s="19">
        <f t="shared" si="103"/>
        <v>13998186.4</v>
      </c>
      <c r="W465" s="20" t="s">
        <v>1174</v>
      </c>
      <c r="X465" s="37">
        <v>0</v>
      </c>
      <c r="Y465" s="37">
        <v>0</v>
      </c>
      <c r="Z465" s="79">
        <v>0</v>
      </c>
      <c r="AA465" s="19">
        <f t="shared" si="104"/>
        <v>13998186.4</v>
      </c>
    </row>
    <row r="466" spans="1:27" s="13" customFormat="1" ht="93.6" customHeight="1" x14ac:dyDescent="0.25">
      <c r="A466" s="17">
        <f>IF(OR(D466=0,D466=""),"",COUNTA($D$306:D466))</f>
        <v>149</v>
      </c>
      <c r="B466" s="17" t="s">
        <v>1059</v>
      </c>
      <c r="C466" s="90" t="s">
        <v>438</v>
      </c>
      <c r="D466" s="43">
        <v>1973</v>
      </c>
      <c r="E466" s="16">
        <v>5514.1</v>
      </c>
      <c r="F466" s="16">
        <v>3970.8</v>
      </c>
      <c r="G466" s="16">
        <v>0</v>
      </c>
      <c r="H466" s="17" t="s">
        <v>257</v>
      </c>
      <c r="I466" s="15"/>
      <c r="J466" s="16">
        <f>390*E466</f>
        <v>2150499</v>
      </c>
      <c r="K466" s="16">
        <f>1145*E466</f>
        <v>6313644.5</v>
      </c>
      <c r="L466" s="26"/>
      <c r="M466" s="16">
        <f>826*E466</f>
        <v>4554646.6000000006</v>
      </c>
      <c r="N466" s="16">
        <f>367*E466</f>
        <v>2023674.7000000002</v>
      </c>
      <c r="O466" s="16"/>
      <c r="P466" s="47"/>
      <c r="Q466" s="47"/>
      <c r="R466" s="47"/>
      <c r="S466" s="47"/>
      <c r="T466" s="47"/>
      <c r="U466" s="17"/>
      <c r="V466" s="19">
        <f t="shared" si="103"/>
        <v>15042464.800000001</v>
      </c>
      <c r="W466" s="20" t="s">
        <v>1174</v>
      </c>
      <c r="X466" s="37">
        <v>0</v>
      </c>
      <c r="Y466" s="37">
        <v>0</v>
      </c>
      <c r="Z466" s="79">
        <v>0</v>
      </c>
      <c r="AA466" s="19">
        <f t="shared" si="104"/>
        <v>15042464.800000001</v>
      </c>
    </row>
    <row r="467" spans="1:27" s="13" customFormat="1" ht="93.6" customHeight="1" x14ac:dyDescent="0.25">
      <c r="A467" s="17">
        <f>IF(OR(D467=0,D467=""),"",COUNTA($D$306:D467))</f>
        <v>150</v>
      </c>
      <c r="B467" s="17" t="s">
        <v>1048</v>
      </c>
      <c r="C467" s="90" t="s">
        <v>434</v>
      </c>
      <c r="D467" s="43">
        <v>1973</v>
      </c>
      <c r="E467" s="16">
        <v>5434.5</v>
      </c>
      <c r="F467" s="16">
        <v>3925.7</v>
      </c>
      <c r="G467" s="16">
        <v>0</v>
      </c>
      <c r="H467" s="17" t="s">
        <v>257</v>
      </c>
      <c r="I467" s="15"/>
      <c r="J467" s="16"/>
      <c r="K467" s="16">
        <f>1145*E467</f>
        <v>6222502.5</v>
      </c>
      <c r="L467" s="26"/>
      <c r="M467" s="16">
        <f>826*E467</f>
        <v>4488897</v>
      </c>
      <c r="N467" s="16">
        <f>367*E467</f>
        <v>1994461.5</v>
      </c>
      <c r="O467" s="16"/>
      <c r="P467" s="47"/>
      <c r="Q467" s="47"/>
      <c r="R467" s="47"/>
      <c r="S467" s="47"/>
      <c r="T467" s="47"/>
      <c r="U467" s="17"/>
      <c r="V467" s="19">
        <f t="shared" si="103"/>
        <v>12705861</v>
      </c>
      <c r="W467" s="20" t="s">
        <v>1174</v>
      </c>
      <c r="X467" s="37">
        <v>0</v>
      </c>
      <c r="Y467" s="37">
        <v>0</v>
      </c>
      <c r="Z467" s="79">
        <v>0</v>
      </c>
      <c r="AA467" s="19">
        <f t="shared" si="104"/>
        <v>12705861</v>
      </c>
    </row>
    <row r="468" spans="1:27" s="13" customFormat="1" ht="93.6" customHeight="1" x14ac:dyDescent="0.25">
      <c r="A468" s="17">
        <f>IF(OR(D468=0,D468=""),"",COUNTA($D$306:D468))</f>
        <v>151</v>
      </c>
      <c r="B468" s="17" t="s">
        <v>1055</v>
      </c>
      <c r="C468" s="90" t="s">
        <v>425</v>
      </c>
      <c r="D468" s="43">
        <v>1991</v>
      </c>
      <c r="E468" s="16">
        <v>7870.41</v>
      </c>
      <c r="F468" s="16">
        <v>5445.19</v>
      </c>
      <c r="G468" s="16">
        <v>0</v>
      </c>
      <c r="H468" s="17" t="s">
        <v>255</v>
      </c>
      <c r="I468" s="15">
        <v>3</v>
      </c>
      <c r="J468" s="16"/>
      <c r="K468" s="16"/>
      <c r="L468" s="26"/>
      <c r="M468" s="18"/>
      <c r="N468" s="16"/>
      <c r="O468" s="16">
        <f t="shared" ref="O468:O474" si="105">2900000*I468</f>
        <v>8700000</v>
      </c>
      <c r="P468" s="16"/>
      <c r="Q468" s="26"/>
      <c r="R468" s="26"/>
      <c r="S468" s="26"/>
      <c r="T468" s="16">
        <f t="shared" ref="T468:T474" si="106">48*E468</f>
        <v>377779.68</v>
      </c>
      <c r="U468" s="17"/>
      <c r="V468" s="19">
        <f t="shared" si="103"/>
        <v>9077779.6799999997</v>
      </c>
      <c r="W468" s="20" t="s">
        <v>1174</v>
      </c>
      <c r="X468" s="37">
        <v>2207725.02</v>
      </c>
      <c r="Y468" s="37">
        <v>2207725.02</v>
      </c>
      <c r="Z468" s="79">
        <v>0</v>
      </c>
      <c r="AA468" s="19">
        <f t="shared" si="104"/>
        <v>4662329.6399999997</v>
      </c>
    </row>
    <row r="469" spans="1:27" s="13" customFormat="1" ht="93.6" customHeight="1" x14ac:dyDescent="0.25">
      <c r="A469" s="17">
        <f>IF(OR(D469=0,D469=""),"",COUNTA($D$306:D469))</f>
        <v>152</v>
      </c>
      <c r="B469" s="17" t="s">
        <v>1056</v>
      </c>
      <c r="C469" s="90" t="s">
        <v>423</v>
      </c>
      <c r="D469" s="43">
        <v>1990</v>
      </c>
      <c r="E469" s="16">
        <v>13961.7</v>
      </c>
      <c r="F469" s="16">
        <v>10802.7</v>
      </c>
      <c r="G469" s="16">
        <v>0</v>
      </c>
      <c r="H469" s="17" t="s">
        <v>255</v>
      </c>
      <c r="I469" s="15">
        <v>6</v>
      </c>
      <c r="J469" s="16"/>
      <c r="K469" s="16"/>
      <c r="L469" s="26"/>
      <c r="M469" s="18"/>
      <c r="N469" s="16"/>
      <c r="O469" s="16">
        <f t="shared" si="105"/>
        <v>17400000</v>
      </c>
      <c r="P469" s="16"/>
      <c r="Q469" s="26"/>
      <c r="R469" s="26"/>
      <c r="S469" s="26"/>
      <c r="T469" s="16">
        <f t="shared" si="106"/>
        <v>670161.60000000009</v>
      </c>
      <c r="U469" s="17"/>
      <c r="V469" s="19">
        <f t="shared" si="103"/>
        <v>18070161.600000001</v>
      </c>
      <c r="W469" s="20" t="s">
        <v>1174</v>
      </c>
      <c r="X469" s="37">
        <v>0</v>
      </c>
      <c r="Y469" s="37">
        <v>0</v>
      </c>
      <c r="Z469" s="79">
        <v>0</v>
      </c>
      <c r="AA469" s="19">
        <f t="shared" si="104"/>
        <v>18070161.600000001</v>
      </c>
    </row>
    <row r="470" spans="1:27" s="13" customFormat="1" ht="93.6" customHeight="1" x14ac:dyDescent="0.25">
      <c r="A470" s="17">
        <f>IF(OR(D470=0,D470=""),"",COUNTA($D$306:D470))</f>
        <v>153</v>
      </c>
      <c r="B470" s="17" t="s">
        <v>1057</v>
      </c>
      <c r="C470" s="90" t="s">
        <v>418</v>
      </c>
      <c r="D470" s="43">
        <v>1987</v>
      </c>
      <c r="E470" s="16">
        <v>10650.74</v>
      </c>
      <c r="F470" s="16">
        <v>7319.94</v>
      </c>
      <c r="G470" s="16">
        <v>0</v>
      </c>
      <c r="H470" s="17" t="s">
        <v>255</v>
      </c>
      <c r="I470" s="15">
        <v>4</v>
      </c>
      <c r="J470" s="16"/>
      <c r="K470" s="16"/>
      <c r="L470" s="26"/>
      <c r="M470" s="18"/>
      <c r="N470" s="16"/>
      <c r="O470" s="16">
        <f t="shared" si="105"/>
        <v>11600000</v>
      </c>
      <c r="P470" s="16"/>
      <c r="Q470" s="26"/>
      <c r="R470" s="26"/>
      <c r="S470" s="26"/>
      <c r="T470" s="16">
        <f t="shared" si="106"/>
        <v>511235.52</v>
      </c>
      <c r="U470" s="17"/>
      <c r="V470" s="19">
        <f t="shared" si="103"/>
        <v>12111235.52</v>
      </c>
      <c r="W470" s="20" t="s">
        <v>1174</v>
      </c>
      <c r="X470" s="37">
        <v>2943633.36</v>
      </c>
      <c r="Y470" s="37">
        <v>2943633.36</v>
      </c>
      <c r="Z470" s="79">
        <v>0</v>
      </c>
      <c r="AA470" s="19">
        <f t="shared" si="104"/>
        <v>6223968.7999999998</v>
      </c>
    </row>
    <row r="471" spans="1:27" s="13" customFormat="1" ht="93.6" customHeight="1" x14ac:dyDescent="0.25">
      <c r="A471" s="17">
        <f>IF(OR(D471=0,D471=""),"",COUNTA($D$306:D471))</f>
        <v>154</v>
      </c>
      <c r="B471" s="17" t="s">
        <v>1058</v>
      </c>
      <c r="C471" s="90" t="s">
        <v>420</v>
      </c>
      <c r="D471" s="43">
        <v>1988</v>
      </c>
      <c r="E471" s="16">
        <v>5185.8999999999996</v>
      </c>
      <c r="F471" s="16">
        <v>3720</v>
      </c>
      <c r="G471" s="16">
        <v>0</v>
      </c>
      <c r="H471" s="17" t="s">
        <v>255</v>
      </c>
      <c r="I471" s="15">
        <v>2</v>
      </c>
      <c r="J471" s="16"/>
      <c r="K471" s="16"/>
      <c r="L471" s="26"/>
      <c r="M471" s="18"/>
      <c r="N471" s="16"/>
      <c r="O471" s="16">
        <f t="shared" si="105"/>
        <v>5800000</v>
      </c>
      <c r="P471" s="16"/>
      <c r="Q471" s="26"/>
      <c r="R471" s="26"/>
      <c r="S471" s="26"/>
      <c r="T471" s="16">
        <f t="shared" si="106"/>
        <v>248923.19999999998</v>
      </c>
      <c r="U471" s="17"/>
      <c r="V471" s="19">
        <f t="shared" si="103"/>
        <v>6048923.2000000002</v>
      </c>
      <c r="W471" s="20" t="s">
        <v>1174</v>
      </c>
      <c r="X471" s="37">
        <v>1471816.68</v>
      </c>
      <c r="Y471" s="37">
        <v>1471816.68</v>
      </c>
      <c r="Z471" s="79">
        <v>0</v>
      </c>
      <c r="AA471" s="19">
        <f t="shared" si="104"/>
        <v>3105289.8400000003</v>
      </c>
    </row>
    <row r="472" spans="1:27" s="13" customFormat="1" ht="93.6" customHeight="1" x14ac:dyDescent="0.25">
      <c r="A472" s="17">
        <f>IF(OR(D472=0,D472=""),"",COUNTA($D$306:D472))</f>
        <v>155</v>
      </c>
      <c r="B472" s="17" t="s">
        <v>1060</v>
      </c>
      <c r="C472" s="90" t="s">
        <v>426</v>
      </c>
      <c r="D472" s="43">
        <v>1991</v>
      </c>
      <c r="E472" s="16">
        <v>7957.6</v>
      </c>
      <c r="F472" s="16">
        <v>5493.8</v>
      </c>
      <c r="G472" s="16">
        <v>0</v>
      </c>
      <c r="H472" s="17" t="s">
        <v>255</v>
      </c>
      <c r="I472" s="15">
        <v>3</v>
      </c>
      <c r="J472" s="16"/>
      <c r="K472" s="16"/>
      <c r="L472" s="26"/>
      <c r="M472" s="18"/>
      <c r="N472" s="16"/>
      <c r="O472" s="16">
        <f t="shared" si="105"/>
        <v>8700000</v>
      </c>
      <c r="P472" s="16"/>
      <c r="Q472" s="26"/>
      <c r="R472" s="26"/>
      <c r="S472" s="26"/>
      <c r="T472" s="16">
        <f t="shared" si="106"/>
        <v>381964.80000000005</v>
      </c>
      <c r="U472" s="17"/>
      <c r="V472" s="19">
        <f t="shared" si="103"/>
        <v>9081964.8000000007</v>
      </c>
      <c r="W472" s="20" t="s">
        <v>1174</v>
      </c>
      <c r="X472" s="37">
        <v>2207725.02</v>
      </c>
      <c r="Y472" s="37">
        <v>2207725.02</v>
      </c>
      <c r="Z472" s="79">
        <v>0</v>
      </c>
      <c r="AA472" s="19">
        <f t="shared" si="104"/>
        <v>4666514.7600000007</v>
      </c>
    </row>
    <row r="473" spans="1:27" s="13" customFormat="1" ht="93.6" customHeight="1" x14ac:dyDescent="0.25">
      <c r="A473" s="17">
        <f>IF(OR(D473=0,D473=""),"",COUNTA($D$306:D473))</f>
        <v>156</v>
      </c>
      <c r="B473" s="17" t="s">
        <v>1061</v>
      </c>
      <c r="C473" s="90" t="s">
        <v>422</v>
      </c>
      <c r="D473" s="43">
        <v>1989</v>
      </c>
      <c r="E473" s="16">
        <v>16074.9</v>
      </c>
      <c r="F473" s="16">
        <v>11296.7</v>
      </c>
      <c r="G473" s="16">
        <v>0</v>
      </c>
      <c r="H473" s="17" t="s">
        <v>255</v>
      </c>
      <c r="I473" s="15">
        <v>6</v>
      </c>
      <c r="J473" s="16"/>
      <c r="K473" s="16"/>
      <c r="L473" s="26"/>
      <c r="M473" s="18"/>
      <c r="N473" s="16"/>
      <c r="O473" s="16">
        <f t="shared" si="105"/>
        <v>17400000</v>
      </c>
      <c r="P473" s="16"/>
      <c r="Q473" s="26"/>
      <c r="R473" s="26"/>
      <c r="S473" s="26"/>
      <c r="T473" s="16">
        <f t="shared" si="106"/>
        <v>771595.2</v>
      </c>
      <c r="U473" s="17"/>
      <c r="V473" s="19">
        <f t="shared" si="103"/>
        <v>18171595.199999999</v>
      </c>
      <c r="W473" s="20" t="s">
        <v>1174</v>
      </c>
      <c r="X473" s="37">
        <v>4415450.04</v>
      </c>
      <c r="Y473" s="37">
        <v>4415450.04</v>
      </c>
      <c r="Z473" s="79">
        <v>0</v>
      </c>
      <c r="AA473" s="19">
        <f t="shared" si="104"/>
        <v>9340695.1199999992</v>
      </c>
    </row>
    <row r="474" spans="1:27" s="13" customFormat="1" ht="93.6" customHeight="1" x14ac:dyDescent="0.25">
      <c r="A474" s="17">
        <f>IF(OR(D474=0,D474=""),"",COUNTA($D$306:D474))</f>
        <v>157</v>
      </c>
      <c r="B474" s="17" t="s">
        <v>1062</v>
      </c>
      <c r="C474" s="90" t="s">
        <v>421</v>
      </c>
      <c r="D474" s="43">
        <v>1988</v>
      </c>
      <c r="E474" s="16">
        <v>13158.78</v>
      </c>
      <c r="F474" s="16">
        <v>9235.7000000000007</v>
      </c>
      <c r="G474" s="16">
        <v>0</v>
      </c>
      <c r="H474" s="17" t="s">
        <v>255</v>
      </c>
      <c r="I474" s="15">
        <v>5</v>
      </c>
      <c r="J474" s="16"/>
      <c r="K474" s="16"/>
      <c r="L474" s="26"/>
      <c r="M474" s="18"/>
      <c r="N474" s="16"/>
      <c r="O474" s="16">
        <f t="shared" si="105"/>
        <v>14500000</v>
      </c>
      <c r="P474" s="16"/>
      <c r="Q474" s="26"/>
      <c r="R474" s="26"/>
      <c r="S474" s="26"/>
      <c r="T474" s="16">
        <f t="shared" si="106"/>
        <v>631621.44000000006</v>
      </c>
      <c r="U474" s="17"/>
      <c r="V474" s="19">
        <f t="shared" si="103"/>
        <v>15131621.439999999</v>
      </c>
      <c r="W474" s="20" t="s">
        <v>1174</v>
      </c>
      <c r="X474" s="37">
        <v>3679541.6999999997</v>
      </c>
      <c r="Y474" s="37">
        <v>3679541.6999999997</v>
      </c>
      <c r="Z474" s="79">
        <v>0</v>
      </c>
      <c r="AA474" s="19">
        <f t="shared" si="104"/>
        <v>7772538.04</v>
      </c>
    </row>
    <row r="475" spans="1:27" s="13" customFormat="1" ht="93.6" customHeight="1" x14ac:dyDescent="0.25">
      <c r="A475" s="17">
        <f>IF(OR(D475=0,D475=""),"",COUNTA($D$306:D475))</f>
        <v>158</v>
      </c>
      <c r="B475" s="17" t="s">
        <v>1063</v>
      </c>
      <c r="C475" s="90" t="s">
        <v>424</v>
      </c>
      <c r="D475" s="43">
        <v>1990</v>
      </c>
      <c r="E475" s="16">
        <v>8712.9</v>
      </c>
      <c r="F475" s="16">
        <v>6293.5</v>
      </c>
      <c r="G475" s="16">
        <v>0</v>
      </c>
      <c r="H475" s="17" t="s">
        <v>429</v>
      </c>
      <c r="I475" s="15">
        <v>2</v>
      </c>
      <c r="J475" s="16"/>
      <c r="K475" s="16"/>
      <c r="L475" s="26"/>
      <c r="M475" s="18"/>
      <c r="N475" s="16"/>
      <c r="O475" s="47">
        <f>3400000+3600000</f>
        <v>7000000</v>
      </c>
      <c r="P475" s="16"/>
      <c r="Q475" s="26"/>
      <c r="R475" s="26"/>
      <c r="S475" s="26"/>
      <c r="T475" s="16">
        <f>68*E475</f>
        <v>592477.19999999995</v>
      </c>
      <c r="U475" s="17"/>
      <c r="V475" s="19">
        <f t="shared" si="103"/>
        <v>7592477.2000000002</v>
      </c>
      <c r="W475" s="20" t="s">
        <v>1174</v>
      </c>
      <c r="X475" s="37">
        <v>1485148.5</v>
      </c>
      <c r="Y475" s="37">
        <v>2566222.59</v>
      </c>
      <c r="Z475" s="79">
        <v>0</v>
      </c>
      <c r="AA475" s="19">
        <f t="shared" si="104"/>
        <v>3541106.1100000003</v>
      </c>
    </row>
    <row r="476" spans="1:27" s="13" customFormat="1" ht="93.6" customHeight="1" x14ac:dyDescent="0.25">
      <c r="A476" s="17">
        <f>IF(OR(D476=0,D476=""),"",COUNTA($D$306:D476))</f>
        <v>159</v>
      </c>
      <c r="B476" s="17" t="s">
        <v>1064</v>
      </c>
      <c r="C476" s="90" t="s">
        <v>428</v>
      </c>
      <c r="D476" s="43">
        <v>1994</v>
      </c>
      <c r="E476" s="16">
        <v>8377</v>
      </c>
      <c r="F476" s="16">
        <v>6302</v>
      </c>
      <c r="G476" s="16">
        <v>0</v>
      </c>
      <c r="H476" s="17" t="s">
        <v>255</v>
      </c>
      <c r="I476" s="15">
        <v>3</v>
      </c>
      <c r="J476" s="16"/>
      <c r="K476" s="16"/>
      <c r="L476" s="26"/>
      <c r="M476" s="18"/>
      <c r="N476" s="16"/>
      <c r="O476" s="16">
        <f t="shared" ref="O476:O478" si="107">2900000*I476</f>
        <v>8700000</v>
      </c>
      <c r="P476" s="16"/>
      <c r="Q476" s="26"/>
      <c r="R476" s="26"/>
      <c r="S476" s="26"/>
      <c r="T476" s="16">
        <f>48*E476</f>
        <v>402096</v>
      </c>
      <c r="U476" s="17"/>
      <c r="V476" s="19">
        <f t="shared" si="103"/>
        <v>9102096</v>
      </c>
      <c r="W476" s="20" t="s">
        <v>1174</v>
      </c>
      <c r="X476" s="37">
        <v>0</v>
      </c>
      <c r="Y476" s="37">
        <v>0</v>
      </c>
      <c r="Z476" s="79">
        <v>0</v>
      </c>
      <c r="AA476" s="19">
        <f t="shared" si="104"/>
        <v>9102096</v>
      </c>
    </row>
    <row r="477" spans="1:27" s="13" customFormat="1" ht="93.6" customHeight="1" x14ac:dyDescent="0.25">
      <c r="A477" s="17">
        <f>IF(OR(D477=0,D477=""),"",COUNTA($D$306:D477))</f>
        <v>160</v>
      </c>
      <c r="B477" s="17" t="s">
        <v>1065</v>
      </c>
      <c r="C477" s="90" t="s">
        <v>427</v>
      </c>
      <c r="D477" s="43">
        <v>1991</v>
      </c>
      <c r="E477" s="16">
        <v>7893.9</v>
      </c>
      <c r="F477" s="16">
        <v>5385.4</v>
      </c>
      <c r="G477" s="16">
        <v>0</v>
      </c>
      <c r="H477" s="17" t="s">
        <v>255</v>
      </c>
      <c r="I477" s="15">
        <v>3</v>
      </c>
      <c r="J477" s="16"/>
      <c r="K477" s="16"/>
      <c r="L477" s="26"/>
      <c r="M477" s="18"/>
      <c r="N477" s="16"/>
      <c r="O477" s="16">
        <f t="shared" si="107"/>
        <v>8700000</v>
      </c>
      <c r="P477" s="16"/>
      <c r="Q477" s="26"/>
      <c r="R477" s="26"/>
      <c r="S477" s="26"/>
      <c r="T477" s="16">
        <f>48*E477</f>
        <v>378907.19999999995</v>
      </c>
      <c r="U477" s="17"/>
      <c r="V477" s="19">
        <f t="shared" si="103"/>
        <v>9078907.1999999993</v>
      </c>
      <c r="W477" s="20" t="s">
        <v>1174</v>
      </c>
      <c r="X477" s="37">
        <v>2207725.02</v>
      </c>
      <c r="Y477" s="37">
        <v>2207725.02</v>
      </c>
      <c r="Z477" s="79">
        <v>0</v>
      </c>
      <c r="AA477" s="19">
        <f t="shared" si="104"/>
        <v>4663457.1599999992</v>
      </c>
    </row>
    <row r="478" spans="1:27" s="13" customFormat="1" ht="93.6" customHeight="1" x14ac:dyDescent="0.25">
      <c r="A478" s="17">
        <f>IF(OR(D478=0,D478=""),"",COUNTA($D$306:D478))</f>
        <v>161</v>
      </c>
      <c r="B478" s="17" t="s">
        <v>1066</v>
      </c>
      <c r="C478" s="90" t="s">
        <v>419</v>
      </c>
      <c r="D478" s="43">
        <v>1987</v>
      </c>
      <c r="E478" s="16">
        <v>12957.8</v>
      </c>
      <c r="F478" s="16">
        <v>9294.9</v>
      </c>
      <c r="G478" s="16">
        <v>0</v>
      </c>
      <c r="H478" s="17" t="s">
        <v>255</v>
      </c>
      <c r="I478" s="15">
        <v>5</v>
      </c>
      <c r="J478" s="16"/>
      <c r="K478" s="16"/>
      <c r="L478" s="26"/>
      <c r="M478" s="18"/>
      <c r="N478" s="16"/>
      <c r="O478" s="16">
        <f t="shared" si="107"/>
        <v>14500000</v>
      </c>
      <c r="P478" s="16"/>
      <c r="Q478" s="26"/>
      <c r="R478" s="26"/>
      <c r="S478" s="26"/>
      <c r="T478" s="16">
        <f>48*E478</f>
        <v>621974.39999999991</v>
      </c>
      <c r="U478" s="17"/>
      <c r="V478" s="19">
        <f t="shared" si="103"/>
        <v>15121974.4</v>
      </c>
      <c r="W478" s="20" t="s">
        <v>1174</v>
      </c>
      <c r="X478" s="37">
        <v>3679541.6999999997</v>
      </c>
      <c r="Y478" s="37">
        <v>3679541.6999999997</v>
      </c>
      <c r="Z478" s="79">
        <v>0</v>
      </c>
      <c r="AA478" s="19">
        <f t="shared" si="104"/>
        <v>7762891.0000000009</v>
      </c>
    </row>
    <row r="479" spans="1:27" s="13" customFormat="1" ht="93.75" customHeight="1" x14ac:dyDescent="0.25">
      <c r="A479" s="17" t="str">
        <f>IF(OR(D479=0,D479=""),"",COUNTA($D$306:D479))</f>
        <v/>
      </c>
      <c r="B479" s="17"/>
      <c r="C479" s="93"/>
      <c r="D479" s="59"/>
      <c r="E479" s="26">
        <f>SUM(E464:E478)</f>
        <v>134233.43</v>
      </c>
      <c r="F479" s="26">
        <f>SUM(F464:F478)</f>
        <v>94954.62999999999</v>
      </c>
      <c r="G479" s="26">
        <f>SUM(G464:G478)</f>
        <v>1413</v>
      </c>
      <c r="H479" s="63"/>
      <c r="I479" s="56"/>
      <c r="J479" s="26"/>
      <c r="K479" s="26"/>
      <c r="L479" s="26"/>
      <c r="M479" s="29"/>
      <c r="N479" s="26"/>
      <c r="O479" s="26"/>
      <c r="P479" s="26"/>
      <c r="Q479" s="26"/>
      <c r="R479" s="26"/>
      <c r="S479" s="26"/>
      <c r="T479" s="26"/>
      <c r="U479" s="17"/>
      <c r="V479" s="26">
        <f>SUM(V464:V478)</f>
        <v>170881142.23999998</v>
      </c>
      <c r="W479" s="26"/>
      <c r="X479" s="26">
        <f>SUM(X464:X478)</f>
        <v>24298307.039999999</v>
      </c>
      <c r="Y479" s="26">
        <f>SUM(Y464:Y478)</f>
        <v>25379381.129999999</v>
      </c>
      <c r="Z479" s="79">
        <v>0</v>
      </c>
      <c r="AA479" s="28">
        <f t="shared" si="104"/>
        <v>121203454.06999998</v>
      </c>
    </row>
    <row r="480" spans="1:27" s="12" customFormat="1" ht="93.75" customHeight="1" x14ac:dyDescent="0.25">
      <c r="A480" s="17" t="str">
        <f>IF(OR(D480=0,D480=""),"",COUNTA($D$306:D480))</f>
        <v/>
      </c>
      <c r="B480" s="17"/>
      <c r="C480" s="89" t="s">
        <v>1216</v>
      </c>
      <c r="D480" s="43"/>
      <c r="E480" s="16"/>
      <c r="F480" s="16"/>
      <c r="G480" s="16"/>
      <c r="H480" s="17"/>
      <c r="I480" s="15"/>
      <c r="J480" s="16"/>
      <c r="K480" s="16"/>
      <c r="L480" s="16"/>
      <c r="M480" s="18"/>
      <c r="N480" s="16"/>
      <c r="O480" s="16"/>
      <c r="P480" s="16"/>
      <c r="Q480" s="16"/>
      <c r="R480" s="16"/>
      <c r="S480" s="16"/>
      <c r="T480" s="16"/>
      <c r="U480" s="15"/>
      <c r="V480" s="19"/>
      <c r="W480" s="20"/>
      <c r="X480" s="37"/>
      <c r="Y480" s="37"/>
      <c r="Z480" s="20"/>
      <c r="AA480" s="19"/>
    </row>
    <row r="481" spans="1:27" s="12" customFormat="1" ht="93.75" customHeight="1" x14ac:dyDescent="0.25">
      <c r="A481" s="17">
        <f>IF(OR(D481=0,D481=""),"",COUNTA($D$306:D481))</f>
        <v>162</v>
      </c>
      <c r="B481" s="17" t="s">
        <v>1074</v>
      </c>
      <c r="C481" s="90" t="s">
        <v>506</v>
      </c>
      <c r="D481" s="43">
        <v>1961</v>
      </c>
      <c r="E481" s="16">
        <v>987.4</v>
      </c>
      <c r="F481" s="16">
        <v>647</v>
      </c>
      <c r="G481" s="16">
        <v>0</v>
      </c>
      <c r="H481" s="17" t="s">
        <v>250</v>
      </c>
      <c r="I481" s="15"/>
      <c r="J481" s="16"/>
      <c r="K481" s="16"/>
      <c r="L481" s="16"/>
      <c r="M481" s="18"/>
      <c r="N481" s="16"/>
      <c r="O481" s="16"/>
      <c r="P481" s="16"/>
      <c r="Q481" s="16"/>
      <c r="R481" s="16">
        <f>E481*2904</f>
        <v>2867409.6</v>
      </c>
      <c r="S481" s="16"/>
      <c r="T481" s="16"/>
      <c r="U481" s="16"/>
      <c r="V481" s="19">
        <f t="shared" ref="V481" si="108">J481+K481+L481+M481+N481+O481+P481+Q481+R481+S481+T481+U481</f>
        <v>2867409.6</v>
      </c>
      <c r="W481" s="20" t="s">
        <v>1174</v>
      </c>
      <c r="X481" s="37">
        <v>0</v>
      </c>
      <c r="Y481" s="37">
        <v>0</v>
      </c>
      <c r="Z481" s="79">
        <v>0</v>
      </c>
      <c r="AA481" s="19">
        <f t="shared" ref="AA481:AA484" si="109">V481-(X481+Y481+Z481)</f>
        <v>2867409.6</v>
      </c>
    </row>
    <row r="482" spans="1:27" s="12" customFormat="1" ht="93.75" customHeight="1" x14ac:dyDescent="0.25">
      <c r="A482" s="17">
        <f>IF(OR(D482=0,D482=""),"",COUNTA($D$306:D482))</f>
        <v>163</v>
      </c>
      <c r="B482" s="17" t="s">
        <v>1075</v>
      </c>
      <c r="C482" s="90" t="s">
        <v>571</v>
      </c>
      <c r="D482" s="43">
        <v>1938</v>
      </c>
      <c r="E482" s="16">
        <v>1845</v>
      </c>
      <c r="F482" s="16">
        <v>1200</v>
      </c>
      <c r="G482" s="16">
        <v>645</v>
      </c>
      <c r="H482" s="17" t="s">
        <v>250</v>
      </c>
      <c r="I482" s="15"/>
      <c r="J482" s="16"/>
      <c r="K482" s="16"/>
      <c r="L482" s="16"/>
      <c r="M482" s="18"/>
      <c r="N482" s="16"/>
      <c r="O482" s="16"/>
      <c r="P482" s="16">
        <f>E482*3823</f>
        <v>7053435</v>
      </c>
      <c r="Q482" s="16"/>
      <c r="R482" s="16"/>
      <c r="S482" s="16"/>
      <c r="T482" s="16"/>
      <c r="U482" s="16"/>
      <c r="V482" s="19">
        <f t="shared" ref="V482" si="110">J482+K482+L482+M482+N482+O482+P482+Q482+R482+S482+T482+U482</f>
        <v>7053435</v>
      </c>
      <c r="W482" s="20" t="s">
        <v>1174</v>
      </c>
      <c r="X482" s="37">
        <v>0</v>
      </c>
      <c r="Y482" s="37">
        <v>0</v>
      </c>
      <c r="Z482" s="79">
        <v>0</v>
      </c>
      <c r="AA482" s="19">
        <f t="shared" si="109"/>
        <v>7053435</v>
      </c>
    </row>
    <row r="483" spans="1:27" s="12" customFormat="1" ht="93.75" customHeight="1" x14ac:dyDescent="0.25">
      <c r="A483" s="17">
        <f>IF(OR(D483=0,D483=""),"",COUNTA($D$306:D483))</f>
        <v>164</v>
      </c>
      <c r="B483" s="17" t="s">
        <v>1082</v>
      </c>
      <c r="C483" s="90" t="s">
        <v>498</v>
      </c>
      <c r="D483" s="43">
        <v>1983</v>
      </c>
      <c r="E483" s="16">
        <v>602.4</v>
      </c>
      <c r="F483" s="16">
        <v>555.4</v>
      </c>
      <c r="G483" s="16">
        <v>47</v>
      </c>
      <c r="H483" s="17" t="s">
        <v>250</v>
      </c>
      <c r="I483" s="15"/>
      <c r="J483" s="16"/>
      <c r="K483" s="16"/>
      <c r="L483" s="16"/>
      <c r="M483" s="16"/>
      <c r="N483" s="16"/>
      <c r="O483" s="16"/>
      <c r="P483" s="16">
        <f>E483*3823</f>
        <v>2302975.1999999997</v>
      </c>
      <c r="Q483" s="16"/>
      <c r="R483" s="16"/>
      <c r="S483" s="16"/>
      <c r="T483" s="16"/>
      <c r="U483" s="16"/>
      <c r="V483" s="19">
        <f t="shared" ref="V483" si="111">J483+K483+L483+M483+N483+O483+P483+Q483+R483+S483+T483+U483</f>
        <v>2302975.1999999997</v>
      </c>
      <c r="W483" s="20" t="s">
        <v>1174</v>
      </c>
      <c r="X483" s="37">
        <v>0</v>
      </c>
      <c r="Y483" s="37">
        <v>0</v>
      </c>
      <c r="Z483" s="79">
        <v>0</v>
      </c>
      <c r="AA483" s="19">
        <f t="shared" si="109"/>
        <v>2302975.1999999997</v>
      </c>
    </row>
    <row r="484" spans="1:27" s="13" customFormat="1" ht="93.75" customHeight="1" x14ac:dyDescent="0.25">
      <c r="A484" s="17" t="str">
        <f>IF(OR(D484=0,D484=""),"",COUNTA($D$306:D484))</f>
        <v/>
      </c>
      <c r="B484" s="17"/>
      <c r="C484" s="89"/>
      <c r="D484" s="21"/>
      <c r="E484" s="26">
        <f>SUM(E481:E483)</f>
        <v>3434.8</v>
      </c>
      <c r="F484" s="26">
        <f>SUM(F481:F483)</f>
        <v>2402.4</v>
      </c>
      <c r="G484" s="26">
        <f>SUM(G481:G483)</f>
        <v>692</v>
      </c>
      <c r="H484" s="17"/>
      <c r="I484" s="15"/>
      <c r="J484" s="26"/>
      <c r="K484" s="26"/>
      <c r="L484" s="26"/>
      <c r="M484" s="29"/>
      <c r="N484" s="26"/>
      <c r="O484" s="26"/>
      <c r="P484" s="26"/>
      <c r="Q484" s="26"/>
      <c r="R484" s="26"/>
      <c r="S484" s="26"/>
      <c r="T484" s="26"/>
      <c r="U484" s="17"/>
      <c r="V484" s="26">
        <f>SUM(V481:V483)</f>
        <v>12223819.799999999</v>
      </c>
      <c r="W484" s="26"/>
      <c r="X484" s="26">
        <f>SUM(X481:X483)</f>
        <v>0</v>
      </c>
      <c r="Y484" s="26">
        <f>SUM(Y481:Y483)</f>
        <v>0</v>
      </c>
      <c r="Z484" s="80">
        <f>SUM(Z481:Z483)</f>
        <v>0</v>
      </c>
      <c r="AA484" s="28">
        <f t="shared" si="109"/>
        <v>12223819.799999999</v>
      </c>
    </row>
    <row r="485" spans="1:27" s="12" customFormat="1" ht="93.75" customHeight="1" x14ac:dyDescent="0.25">
      <c r="A485" s="17" t="str">
        <f>IF(OR(D485=0,D485=""),"",COUNTA($D$306:D485))</f>
        <v/>
      </c>
      <c r="B485" s="17"/>
      <c r="C485" s="89" t="s">
        <v>1190</v>
      </c>
      <c r="D485" s="43"/>
      <c r="E485" s="16"/>
      <c r="F485" s="16"/>
      <c r="G485" s="16"/>
      <c r="H485" s="17"/>
      <c r="I485" s="15"/>
      <c r="J485" s="16"/>
      <c r="K485" s="16"/>
      <c r="L485" s="16"/>
      <c r="M485" s="18"/>
      <c r="N485" s="16"/>
      <c r="O485" s="16"/>
      <c r="P485" s="16"/>
      <c r="Q485" s="16"/>
      <c r="R485" s="16"/>
      <c r="S485" s="16"/>
      <c r="T485" s="16"/>
      <c r="U485" s="15"/>
      <c r="V485" s="19"/>
      <c r="W485" s="20"/>
      <c r="X485" s="37"/>
      <c r="Y485" s="37"/>
      <c r="Z485" s="20"/>
      <c r="AA485" s="19"/>
    </row>
    <row r="486" spans="1:27" s="12" customFormat="1" ht="93.75" customHeight="1" x14ac:dyDescent="0.25">
      <c r="A486" s="17">
        <f>IF(OR(D486=0,D486=""),"",COUNTA($D$306:D486))</f>
        <v>165</v>
      </c>
      <c r="B486" s="17" t="s">
        <v>1086</v>
      </c>
      <c r="C486" s="90" t="s">
        <v>446</v>
      </c>
      <c r="D486" s="52">
        <v>1930</v>
      </c>
      <c r="E486" s="46">
        <v>411.5</v>
      </c>
      <c r="F486" s="46">
        <v>339.5</v>
      </c>
      <c r="G486" s="16">
        <v>0</v>
      </c>
      <c r="H486" s="17" t="s">
        <v>250</v>
      </c>
      <c r="I486" s="15"/>
      <c r="J486" s="16"/>
      <c r="K486" s="16"/>
      <c r="L486" s="16"/>
      <c r="M486" s="16"/>
      <c r="N486" s="16"/>
      <c r="O486" s="16"/>
      <c r="P486" s="16">
        <f>E486*3823</f>
        <v>1573164.5</v>
      </c>
      <c r="Q486" s="16"/>
      <c r="R486" s="16"/>
      <c r="S486" s="16"/>
      <c r="T486" s="16"/>
      <c r="U486" s="16"/>
      <c r="V486" s="19">
        <f t="shared" ref="V486" si="112">J486+K486+L486+M486+N486+O486+P486+Q486+R486+S486+T486+U486</f>
        <v>1573164.5</v>
      </c>
      <c r="W486" s="20" t="s">
        <v>1174</v>
      </c>
      <c r="X486" s="37">
        <v>0</v>
      </c>
      <c r="Y486" s="37">
        <v>0</v>
      </c>
      <c r="Z486" s="79">
        <v>0</v>
      </c>
      <c r="AA486" s="19">
        <f t="shared" ref="AA486:AA487" si="113">V486-(X486+Y486+Z486)</f>
        <v>1573164.5</v>
      </c>
    </row>
    <row r="487" spans="1:27" s="13" customFormat="1" ht="93.75" customHeight="1" x14ac:dyDescent="0.25">
      <c r="A487" s="17" t="str">
        <f>IF(OR(D487=0,D487=""),"",COUNTA($D$306:D487))</f>
        <v/>
      </c>
      <c r="B487" s="17"/>
      <c r="C487" s="89"/>
      <c r="D487" s="21"/>
      <c r="E487" s="26">
        <f>SUM(E486:E486)</f>
        <v>411.5</v>
      </c>
      <c r="F487" s="26">
        <f>SUM(F486:F486)</f>
        <v>339.5</v>
      </c>
      <c r="G487" s="26">
        <f>SUM(G486:G486)</f>
        <v>0</v>
      </c>
      <c r="H487" s="17"/>
      <c r="I487" s="15"/>
      <c r="J487" s="26"/>
      <c r="K487" s="26"/>
      <c r="L487" s="26"/>
      <c r="M487" s="29"/>
      <c r="N487" s="26"/>
      <c r="O487" s="26"/>
      <c r="P487" s="26"/>
      <c r="Q487" s="26"/>
      <c r="R487" s="26"/>
      <c r="S487" s="26"/>
      <c r="T487" s="26"/>
      <c r="U487" s="17"/>
      <c r="V487" s="28">
        <f>SUM(V486:V486)</f>
        <v>1573164.5</v>
      </c>
      <c r="W487" s="28"/>
      <c r="X487" s="28">
        <f>SUM(X486:X486)</f>
        <v>0</v>
      </c>
      <c r="Y487" s="28">
        <f>SUM(Y486:Y486)</f>
        <v>0</v>
      </c>
      <c r="Z487" s="81">
        <f>SUM(Z486:Z486)</f>
        <v>0</v>
      </c>
      <c r="AA487" s="28">
        <f t="shared" si="113"/>
        <v>1573164.5</v>
      </c>
    </row>
    <row r="488" spans="1:27" s="12" customFormat="1" ht="93.75" customHeight="1" x14ac:dyDescent="0.25">
      <c r="A488" s="17" t="str">
        <f>IF(OR(D488=0,D488=""),"",COUNTA($D$306:D488))</f>
        <v/>
      </c>
      <c r="B488" s="17"/>
      <c r="C488" s="89" t="s">
        <v>1191</v>
      </c>
      <c r="D488" s="43"/>
      <c r="E488" s="16"/>
      <c r="F488" s="16"/>
      <c r="G488" s="16"/>
      <c r="H488" s="17"/>
      <c r="I488" s="15"/>
      <c r="J488" s="16"/>
      <c r="K488" s="16"/>
      <c r="L488" s="16"/>
      <c r="M488" s="18"/>
      <c r="N488" s="16"/>
      <c r="O488" s="16"/>
      <c r="P488" s="16"/>
      <c r="Q488" s="16"/>
      <c r="R488" s="16"/>
      <c r="S488" s="16"/>
      <c r="T488" s="16"/>
      <c r="U488" s="15"/>
      <c r="V488" s="19"/>
      <c r="W488" s="20"/>
      <c r="X488" s="37"/>
      <c r="Y488" s="37"/>
      <c r="Z488" s="20"/>
      <c r="AA488" s="19"/>
    </row>
    <row r="489" spans="1:27" s="12" customFormat="1" ht="93.75" customHeight="1" x14ac:dyDescent="0.25">
      <c r="A489" s="17">
        <f>IF(OR(D489=0,D489=""),"",COUNTA($D$306:D489))</f>
        <v>166</v>
      </c>
      <c r="B489" s="17" t="s">
        <v>1087</v>
      </c>
      <c r="C489" s="90" t="s">
        <v>224</v>
      </c>
      <c r="D489" s="43">
        <v>1963</v>
      </c>
      <c r="E489" s="16">
        <v>1500</v>
      </c>
      <c r="F489" s="16">
        <v>974.4</v>
      </c>
      <c r="G489" s="16">
        <v>525.6</v>
      </c>
      <c r="H489" s="17" t="s">
        <v>254</v>
      </c>
      <c r="I489" s="15"/>
      <c r="J489" s="16"/>
      <c r="K489" s="16"/>
      <c r="L489" s="16"/>
      <c r="M489" s="16"/>
      <c r="N489" s="16"/>
      <c r="O489" s="16"/>
      <c r="P489" s="16">
        <f>E489*3823</f>
        <v>5734500</v>
      </c>
      <c r="Q489" s="16"/>
      <c r="R489" s="16"/>
      <c r="S489" s="16"/>
      <c r="T489" s="16"/>
      <c r="U489" s="15"/>
      <c r="V489" s="19">
        <f t="shared" ref="V489" si="114">J489+K489+L489+M489+N489+O489+P489+Q489+R489+S489+T489+U489</f>
        <v>5734500</v>
      </c>
      <c r="W489" s="20" t="s">
        <v>1174</v>
      </c>
      <c r="X489" s="37">
        <v>0</v>
      </c>
      <c r="Y489" s="37">
        <v>0</v>
      </c>
      <c r="Z489" s="79">
        <v>0</v>
      </c>
      <c r="AA489" s="19">
        <f t="shared" ref="AA489:AA490" si="115">V489-(X489+Y489+Z489)</f>
        <v>5734500</v>
      </c>
    </row>
    <row r="490" spans="1:27" s="13" customFormat="1" ht="93.75" customHeight="1" x14ac:dyDescent="0.25">
      <c r="A490" s="17" t="str">
        <f>IF(OR(D490=0,D490=""),"",COUNTA($D$306:D490))</f>
        <v/>
      </c>
      <c r="B490" s="17"/>
      <c r="C490" s="89"/>
      <c r="D490" s="21"/>
      <c r="E490" s="26">
        <f>SUM(E489:E489)</f>
        <v>1500</v>
      </c>
      <c r="F490" s="26">
        <f>SUM(F489:F489)</f>
        <v>974.4</v>
      </c>
      <c r="G490" s="26">
        <f>SUM(G489:G489)</f>
        <v>525.6</v>
      </c>
      <c r="H490" s="17"/>
      <c r="I490" s="15"/>
      <c r="J490" s="26"/>
      <c r="K490" s="26"/>
      <c r="L490" s="26"/>
      <c r="M490" s="29"/>
      <c r="N490" s="26"/>
      <c r="O490" s="26"/>
      <c r="P490" s="26"/>
      <c r="Q490" s="26"/>
      <c r="R490" s="26"/>
      <c r="S490" s="26"/>
      <c r="T490" s="26"/>
      <c r="U490" s="17"/>
      <c r="V490" s="26">
        <f>SUM(V489:V489)</f>
        <v>5734500</v>
      </c>
      <c r="W490" s="26"/>
      <c r="X490" s="26">
        <f>SUM(X489:X489)</f>
        <v>0</v>
      </c>
      <c r="Y490" s="26">
        <f>SUM(Y489:Y489)</f>
        <v>0</v>
      </c>
      <c r="Z490" s="80">
        <f>SUM(Z489:Z489)</f>
        <v>0</v>
      </c>
      <c r="AA490" s="28">
        <f t="shared" si="115"/>
        <v>5734500</v>
      </c>
    </row>
    <row r="491" spans="1:27" s="12" customFormat="1" ht="93.75" customHeight="1" x14ac:dyDescent="0.25">
      <c r="A491" s="17" t="str">
        <f>IF(OR(D491=0,D491=""),"",COUNTA($D$306:D491))</f>
        <v/>
      </c>
      <c r="B491" s="17"/>
      <c r="C491" s="89" t="s">
        <v>1182</v>
      </c>
      <c r="D491" s="43"/>
      <c r="E491" s="16"/>
      <c r="F491" s="16"/>
      <c r="G491" s="16"/>
      <c r="H491" s="17"/>
      <c r="I491" s="15"/>
      <c r="J491" s="16"/>
      <c r="K491" s="16"/>
      <c r="L491" s="16"/>
      <c r="M491" s="18"/>
      <c r="N491" s="16"/>
      <c r="O491" s="16"/>
      <c r="P491" s="16"/>
      <c r="Q491" s="16"/>
      <c r="R491" s="16"/>
      <c r="S491" s="16"/>
      <c r="T491" s="16"/>
      <c r="U491" s="16"/>
      <c r="V491" s="19"/>
      <c r="W491" s="20"/>
      <c r="X491" s="37"/>
      <c r="Y491" s="37"/>
      <c r="Z491" s="20"/>
      <c r="AA491" s="19"/>
    </row>
    <row r="492" spans="1:27" s="12" customFormat="1" ht="93.75" customHeight="1" x14ac:dyDescent="0.25">
      <c r="A492" s="17">
        <f>IF(OR(D492=0,D492=""),"",COUNTA($D$306:D492))</f>
        <v>167</v>
      </c>
      <c r="B492" s="17" t="s">
        <v>1089</v>
      </c>
      <c r="C492" s="90" t="s">
        <v>447</v>
      </c>
      <c r="D492" s="52">
        <v>1963</v>
      </c>
      <c r="E492" s="46">
        <v>682.9</v>
      </c>
      <c r="F492" s="46">
        <v>630.70000000000005</v>
      </c>
      <c r="G492" s="16">
        <v>0</v>
      </c>
      <c r="H492" s="17" t="s">
        <v>250</v>
      </c>
      <c r="I492" s="15"/>
      <c r="J492" s="16"/>
      <c r="K492" s="16"/>
      <c r="L492" s="16"/>
      <c r="M492" s="16"/>
      <c r="N492" s="16">
        <f>E492*363</f>
        <v>247892.69999999998</v>
      </c>
      <c r="O492" s="16"/>
      <c r="P492" s="16">
        <f>E492*3823</f>
        <v>2610726.6999999997</v>
      </c>
      <c r="Q492" s="16"/>
      <c r="R492" s="37"/>
      <c r="S492" s="16"/>
      <c r="T492" s="16"/>
      <c r="U492" s="16"/>
      <c r="V492" s="19">
        <f t="shared" ref="V492" si="116">J492+K492+L492+M492+N492+O492+P492+Q492+R492+S492+T492+U492</f>
        <v>2858619.4</v>
      </c>
      <c r="W492" s="20" t="s">
        <v>1174</v>
      </c>
      <c r="X492" s="37">
        <v>0</v>
      </c>
      <c r="Y492" s="37">
        <v>0</v>
      </c>
      <c r="Z492" s="79">
        <v>0</v>
      </c>
      <c r="AA492" s="19">
        <f>V492-(X492+Y492+Z492)</f>
        <v>2858619.4</v>
      </c>
    </row>
    <row r="493" spans="1:27" s="13" customFormat="1" ht="93.75" customHeight="1" x14ac:dyDescent="0.25">
      <c r="A493" s="17" t="str">
        <f>IF(OR(D493=0,D493=""),"",COUNTA($D$306:D493))</f>
        <v/>
      </c>
      <c r="B493" s="17"/>
      <c r="C493" s="89"/>
      <c r="D493" s="21"/>
      <c r="E493" s="26">
        <f>+E492</f>
        <v>682.9</v>
      </c>
      <c r="F493" s="26">
        <f t="shared" ref="F493:G493" si="117">+F492</f>
        <v>630.70000000000005</v>
      </c>
      <c r="G493" s="26">
        <f t="shared" si="117"/>
        <v>0</v>
      </c>
      <c r="H493" s="17"/>
      <c r="I493" s="15"/>
      <c r="J493" s="26"/>
      <c r="K493" s="26"/>
      <c r="L493" s="26"/>
      <c r="M493" s="29"/>
      <c r="N493" s="26"/>
      <c r="O493" s="26"/>
      <c r="P493" s="26"/>
      <c r="Q493" s="26"/>
      <c r="R493" s="26"/>
      <c r="S493" s="26"/>
      <c r="T493" s="26"/>
      <c r="U493" s="17"/>
      <c r="V493" s="26">
        <f>+V492</f>
        <v>2858619.4</v>
      </c>
      <c r="W493" s="28"/>
      <c r="X493" s="26">
        <f>+X492</f>
        <v>0</v>
      </c>
      <c r="Y493" s="26">
        <f>+Y492</f>
        <v>0</v>
      </c>
      <c r="Z493" s="26">
        <f>+Z492</f>
        <v>0</v>
      </c>
      <c r="AA493" s="26">
        <f>+AA492</f>
        <v>2858619.4</v>
      </c>
    </row>
    <row r="494" spans="1:27" s="12" customFormat="1" ht="93.75" customHeight="1" x14ac:dyDescent="0.25">
      <c r="A494" s="17" t="str">
        <f>IF(OR(D494=0,D494=""),"",COUNTA($D$306:D494))</f>
        <v/>
      </c>
      <c r="B494" s="17"/>
      <c r="C494" s="89" t="s">
        <v>1192</v>
      </c>
      <c r="D494" s="43"/>
      <c r="E494" s="16"/>
      <c r="F494" s="16"/>
      <c r="G494" s="16"/>
      <c r="H494" s="17"/>
      <c r="I494" s="15"/>
      <c r="J494" s="16"/>
      <c r="K494" s="16"/>
      <c r="L494" s="16"/>
      <c r="M494" s="18"/>
      <c r="N494" s="16"/>
      <c r="O494" s="16"/>
      <c r="P494" s="16"/>
      <c r="Q494" s="16"/>
      <c r="R494" s="16"/>
      <c r="S494" s="16"/>
      <c r="T494" s="16"/>
      <c r="U494" s="16"/>
      <c r="V494" s="19"/>
      <c r="W494" s="20"/>
      <c r="X494" s="37"/>
      <c r="Y494" s="37"/>
      <c r="Z494" s="20"/>
      <c r="AA494" s="19"/>
    </row>
    <row r="495" spans="1:27" s="12" customFormat="1" ht="93.75" customHeight="1" x14ac:dyDescent="0.25">
      <c r="A495" s="17">
        <f>IF(OR(D495=0,D495=""),"",COUNTA($D$306:D495))</f>
        <v>168</v>
      </c>
      <c r="B495" s="17" t="s">
        <v>1094</v>
      </c>
      <c r="C495" s="90" t="s">
        <v>431</v>
      </c>
      <c r="D495" s="43">
        <v>1971</v>
      </c>
      <c r="E495" s="16">
        <v>425.8</v>
      </c>
      <c r="F495" s="16">
        <v>378.9</v>
      </c>
      <c r="G495" s="16">
        <v>0</v>
      </c>
      <c r="H495" s="17" t="s">
        <v>249</v>
      </c>
      <c r="I495" s="15"/>
      <c r="J495" s="16"/>
      <c r="K495" s="16"/>
      <c r="L495" s="16"/>
      <c r="M495" s="18"/>
      <c r="N495" s="16"/>
      <c r="O495" s="16"/>
      <c r="P495" s="16">
        <f>E495*3823</f>
        <v>1627833.4000000001</v>
      </c>
      <c r="Q495" s="16"/>
      <c r="R495" s="16"/>
      <c r="S495" s="16"/>
      <c r="T495" s="16"/>
      <c r="U495" s="16"/>
      <c r="V495" s="19">
        <f t="shared" ref="V495" si="118">J495+K495+L495+M495+N495+O495+P495+Q495+R495+S495+T495+U495</f>
        <v>1627833.4000000001</v>
      </c>
      <c r="W495" s="20" t="s">
        <v>1174</v>
      </c>
      <c r="X495" s="37">
        <v>0</v>
      </c>
      <c r="Y495" s="37">
        <v>0</v>
      </c>
      <c r="Z495" s="79">
        <v>0</v>
      </c>
      <c r="AA495" s="19">
        <f>V495-(X495+Y495+Z495)</f>
        <v>1627833.4000000001</v>
      </c>
    </row>
    <row r="496" spans="1:27" s="13" customFormat="1" ht="93.75" customHeight="1" x14ac:dyDescent="0.25">
      <c r="A496" s="17" t="str">
        <f>IF(OR(D496=0,D496=""),"",COUNTA($D$306:D496))</f>
        <v/>
      </c>
      <c r="B496" s="17"/>
      <c r="C496" s="89"/>
      <c r="D496" s="21"/>
      <c r="E496" s="26">
        <f>SUM(E495:E495)</f>
        <v>425.8</v>
      </c>
      <c r="F496" s="26">
        <f>SUM(F495:F495)</f>
        <v>378.9</v>
      </c>
      <c r="G496" s="26">
        <f>SUM(G495:G495)</f>
        <v>0</v>
      </c>
      <c r="H496" s="17"/>
      <c r="I496" s="15"/>
      <c r="J496" s="26"/>
      <c r="K496" s="26"/>
      <c r="L496" s="26"/>
      <c r="M496" s="29"/>
      <c r="N496" s="26"/>
      <c r="O496" s="26"/>
      <c r="P496" s="26"/>
      <c r="Q496" s="26"/>
      <c r="R496" s="26"/>
      <c r="S496" s="26"/>
      <c r="T496" s="26"/>
      <c r="U496" s="17"/>
      <c r="V496" s="26">
        <f>SUM(V495:V495)</f>
        <v>1627833.4000000001</v>
      </c>
      <c r="W496" s="26"/>
      <c r="X496" s="26">
        <f>SUM(X495:X495)</f>
        <v>0</v>
      </c>
      <c r="Y496" s="26">
        <f>SUM(Y495:Y495)</f>
        <v>0</v>
      </c>
      <c r="Z496" s="80">
        <f>SUM(Z495:Z495)</f>
        <v>0</v>
      </c>
      <c r="AA496" s="28">
        <f>V496-(X496+Y496+Z496)</f>
        <v>1627833.4000000001</v>
      </c>
    </row>
    <row r="497" spans="1:27" s="12" customFormat="1" ht="93.75" customHeight="1" x14ac:dyDescent="0.25">
      <c r="A497" s="17" t="str">
        <f>IF(OR(D497=0,D497=""),"",COUNTA($D$306:D497))</f>
        <v/>
      </c>
      <c r="B497" s="17"/>
      <c r="C497" s="89" t="s">
        <v>1193</v>
      </c>
      <c r="D497" s="43"/>
      <c r="E497" s="16"/>
      <c r="F497" s="16"/>
      <c r="G497" s="16"/>
      <c r="H497" s="17"/>
      <c r="I497" s="15"/>
      <c r="J497" s="16"/>
      <c r="K497" s="16"/>
      <c r="L497" s="16"/>
      <c r="M497" s="18"/>
      <c r="N497" s="16"/>
      <c r="O497" s="16"/>
      <c r="P497" s="16"/>
      <c r="Q497" s="16"/>
      <c r="R497" s="16"/>
      <c r="S497" s="16"/>
      <c r="T497" s="16"/>
      <c r="U497" s="15"/>
      <c r="V497" s="19"/>
      <c r="W497" s="20"/>
      <c r="X497" s="37"/>
      <c r="Y497" s="37"/>
      <c r="Z497" s="20"/>
      <c r="AA497" s="19"/>
    </row>
    <row r="498" spans="1:27" s="12" customFormat="1" ht="93.75" customHeight="1" x14ac:dyDescent="0.25">
      <c r="A498" s="17">
        <f>IF(OR(D498=0,D498=""),"",COUNTA($D$306:D498))</f>
        <v>169</v>
      </c>
      <c r="B498" s="17" t="s">
        <v>1100</v>
      </c>
      <c r="C498" s="90" t="s">
        <v>505</v>
      </c>
      <c r="D498" s="43">
        <v>1972</v>
      </c>
      <c r="E498" s="16">
        <v>1001.87</v>
      </c>
      <c r="F498" s="16">
        <v>472</v>
      </c>
      <c r="G498" s="16">
        <v>30.1</v>
      </c>
      <c r="H498" s="17" t="s">
        <v>250</v>
      </c>
      <c r="I498" s="15"/>
      <c r="J498" s="16"/>
      <c r="K498" s="16"/>
      <c r="L498" s="16"/>
      <c r="M498" s="18"/>
      <c r="N498" s="16"/>
      <c r="O498" s="16"/>
      <c r="P498" s="16">
        <f>E498*3823</f>
        <v>3830149.0100000002</v>
      </c>
      <c r="Q498" s="16"/>
      <c r="R498" s="16"/>
      <c r="S498" s="16"/>
      <c r="T498" s="16"/>
      <c r="U498" s="16"/>
      <c r="V498" s="19">
        <f t="shared" ref="V498" si="119">J498+K498+L498+M498+N498+O498+P498+Q498+R498+S498+T498+U498</f>
        <v>3830149.0100000002</v>
      </c>
      <c r="W498" s="20" t="s">
        <v>1174</v>
      </c>
      <c r="X498" s="37">
        <v>0</v>
      </c>
      <c r="Y498" s="37">
        <v>0</v>
      </c>
      <c r="Z498" s="79">
        <v>0</v>
      </c>
      <c r="AA498" s="19">
        <f t="shared" ref="AA498" si="120">V498-(X498+Y498+Z498)</f>
        <v>3830149.0100000002</v>
      </c>
    </row>
    <row r="499" spans="1:27" s="13" customFormat="1" ht="93.75" customHeight="1" x14ac:dyDescent="0.25">
      <c r="A499" s="17" t="str">
        <f>IF(OR(D499=0,D499=""),"",COUNTA($D$306:D499))</f>
        <v/>
      </c>
      <c r="B499" s="17"/>
      <c r="C499" s="89"/>
      <c r="D499" s="21"/>
      <c r="E499" s="26">
        <f>SUM(E498:E498)</f>
        <v>1001.87</v>
      </c>
      <c r="F499" s="26">
        <f>SUM(F498:F498)</f>
        <v>472</v>
      </c>
      <c r="G499" s="26">
        <f>SUM(G498:G498)</f>
        <v>30.1</v>
      </c>
      <c r="H499" s="17"/>
      <c r="I499" s="15"/>
      <c r="J499" s="26"/>
      <c r="K499" s="26"/>
      <c r="L499" s="26"/>
      <c r="M499" s="29"/>
      <c r="N499" s="26"/>
      <c r="O499" s="26"/>
      <c r="P499" s="26"/>
      <c r="Q499" s="26"/>
      <c r="R499" s="26"/>
      <c r="S499" s="26"/>
      <c r="T499" s="26"/>
      <c r="U499" s="17"/>
      <c r="V499" s="26">
        <f>SUM(V498:V498)</f>
        <v>3830149.0100000002</v>
      </c>
      <c r="W499" s="26"/>
      <c r="X499" s="26">
        <f>SUM(X498:X498)</f>
        <v>0</v>
      </c>
      <c r="Y499" s="26">
        <f>SUM(Y498:Y498)</f>
        <v>0</v>
      </c>
      <c r="Z499" s="26">
        <f>SUM(Z498:Z498)</f>
        <v>0</v>
      </c>
      <c r="AA499" s="26">
        <f>SUM(AA498:AA498)</f>
        <v>3830149.0100000002</v>
      </c>
    </row>
    <row r="500" spans="1:27" s="12" customFormat="1" ht="93.75" customHeight="1" x14ac:dyDescent="0.25">
      <c r="A500" s="17" t="str">
        <f>IF(OR(D500=0,D500=""),"",COUNTA($D$306:D500))</f>
        <v/>
      </c>
      <c r="B500" s="17"/>
      <c r="C500" s="89" t="s">
        <v>1194</v>
      </c>
      <c r="D500" s="43"/>
      <c r="E500" s="16"/>
      <c r="F500" s="16"/>
      <c r="G500" s="16"/>
      <c r="H500" s="17"/>
      <c r="I500" s="15"/>
      <c r="J500" s="16"/>
      <c r="K500" s="16"/>
      <c r="L500" s="16"/>
      <c r="M500" s="18"/>
      <c r="N500" s="16"/>
      <c r="O500" s="16"/>
      <c r="P500" s="16"/>
      <c r="Q500" s="16"/>
      <c r="R500" s="16"/>
      <c r="S500" s="16"/>
      <c r="T500" s="16"/>
      <c r="U500" s="15"/>
      <c r="V500" s="19"/>
      <c r="W500" s="20"/>
      <c r="X500" s="37"/>
      <c r="Y500" s="37"/>
      <c r="Z500" s="20"/>
      <c r="AA500" s="19"/>
    </row>
    <row r="501" spans="1:27" s="12" customFormat="1" ht="93.75" customHeight="1" x14ac:dyDescent="0.25">
      <c r="A501" s="17">
        <f>IF(OR(D501=0,D501=""),"",COUNTA($D$306:D501))</f>
        <v>170</v>
      </c>
      <c r="B501" s="17" t="s">
        <v>1109</v>
      </c>
      <c r="C501" s="90" t="s">
        <v>353</v>
      </c>
      <c r="D501" s="43">
        <v>1984</v>
      </c>
      <c r="E501" s="16">
        <v>1465.4</v>
      </c>
      <c r="F501" s="16">
        <v>1331.4</v>
      </c>
      <c r="G501" s="16">
        <v>134</v>
      </c>
      <c r="H501" s="17" t="s">
        <v>254</v>
      </c>
      <c r="I501" s="26"/>
      <c r="J501" s="26"/>
      <c r="K501" s="22"/>
      <c r="L501" s="25"/>
      <c r="M501" s="26"/>
      <c r="N501" s="26"/>
      <c r="O501" s="16"/>
      <c r="P501" s="16">
        <f>E501*3823</f>
        <v>5602224.2000000002</v>
      </c>
      <c r="Q501" s="16"/>
      <c r="R501" s="16"/>
      <c r="S501" s="16"/>
      <c r="T501" s="16"/>
      <c r="U501" s="16"/>
      <c r="V501" s="19">
        <f t="shared" ref="V501" si="121">J501+K501+L501+M501+N501+O501+P501+Q501+R501+S501+T501+U501</f>
        <v>5602224.2000000002</v>
      </c>
      <c r="W501" s="20" t="s">
        <v>1174</v>
      </c>
      <c r="X501" s="37">
        <v>0</v>
      </c>
      <c r="Y501" s="37">
        <v>0</v>
      </c>
      <c r="Z501" s="79">
        <v>0</v>
      </c>
      <c r="AA501" s="19">
        <f t="shared" ref="AA501:AA502" si="122">V501-(X501+Y501+Z501)</f>
        <v>5602224.2000000002</v>
      </c>
    </row>
    <row r="502" spans="1:27" s="13" customFormat="1" ht="93.75" customHeight="1" x14ac:dyDescent="0.25">
      <c r="A502" s="17" t="str">
        <f>IF(OR(D502=0,D502=""),"",COUNTA($D$306:D502))</f>
        <v/>
      </c>
      <c r="B502" s="17"/>
      <c r="C502" s="89"/>
      <c r="D502" s="21"/>
      <c r="E502" s="26">
        <f>SUM(E501:E501)</f>
        <v>1465.4</v>
      </c>
      <c r="F502" s="26">
        <f>SUM(F501:F501)</f>
        <v>1331.4</v>
      </c>
      <c r="G502" s="26">
        <f>SUM(G501:G501)</f>
        <v>134</v>
      </c>
      <c r="H502" s="17"/>
      <c r="I502" s="15"/>
      <c r="J502" s="26"/>
      <c r="K502" s="26"/>
      <c r="L502" s="26"/>
      <c r="M502" s="29"/>
      <c r="N502" s="26"/>
      <c r="O502" s="26"/>
      <c r="P502" s="26"/>
      <c r="Q502" s="26"/>
      <c r="R502" s="26"/>
      <c r="S502" s="26"/>
      <c r="T502" s="26"/>
      <c r="U502" s="17"/>
      <c r="V502" s="28">
        <f>SUM(V501:V501)</f>
        <v>5602224.2000000002</v>
      </c>
      <c r="W502" s="28"/>
      <c r="X502" s="28">
        <f>SUM(X501:X501)</f>
        <v>0</v>
      </c>
      <c r="Y502" s="28">
        <f>SUM(Y501:Y501)</f>
        <v>0</v>
      </c>
      <c r="Z502" s="81">
        <f>SUM(Z501:Z501)</f>
        <v>0</v>
      </c>
      <c r="AA502" s="28">
        <f t="shared" si="122"/>
        <v>5602224.2000000002</v>
      </c>
    </row>
    <row r="503" spans="1:27" s="13" customFormat="1" ht="93.75" customHeight="1" x14ac:dyDescent="0.25">
      <c r="A503" s="17" t="str">
        <f>IF(OR(D503=0,D503=""),"",COUNTA($D$306:D503))</f>
        <v/>
      </c>
      <c r="B503" s="17"/>
      <c r="C503" s="89" t="s">
        <v>1195</v>
      </c>
      <c r="D503" s="21"/>
      <c r="E503" s="26"/>
      <c r="F503" s="26"/>
      <c r="G503" s="26"/>
      <c r="H503" s="17"/>
      <c r="I503" s="15"/>
      <c r="J503" s="26"/>
      <c r="K503" s="26"/>
      <c r="L503" s="26"/>
      <c r="M503" s="29"/>
      <c r="N503" s="26"/>
      <c r="O503" s="26"/>
      <c r="P503" s="26"/>
      <c r="Q503" s="26"/>
      <c r="R503" s="26"/>
      <c r="S503" s="26"/>
      <c r="T503" s="26"/>
      <c r="U503" s="17"/>
      <c r="V503" s="28"/>
      <c r="W503" s="31"/>
      <c r="X503" s="37"/>
      <c r="Y503" s="37"/>
      <c r="Z503" s="20"/>
      <c r="AA503" s="28"/>
    </row>
    <row r="504" spans="1:27" s="13" customFormat="1" ht="93.75" customHeight="1" x14ac:dyDescent="0.25">
      <c r="A504" s="17">
        <f>IF(OR(D504=0,D504=""),"",COUNTA($D$306:D504))</f>
        <v>171</v>
      </c>
      <c r="B504" s="17" t="s">
        <v>1111</v>
      </c>
      <c r="C504" s="90" t="s">
        <v>502</v>
      </c>
      <c r="D504" s="43">
        <v>1969</v>
      </c>
      <c r="E504" s="16">
        <v>690</v>
      </c>
      <c r="F504" s="16">
        <v>641.20000000000005</v>
      </c>
      <c r="G504" s="16">
        <v>0</v>
      </c>
      <c r="H504" s="17" t="s">
        <v>250</v>
      </c>
      <c r="I504" s="15"/>
      <c r="J504" s="16"/>
      <c r="K504" s="16"/>
      <c r="L504" s="16"/>
      <c r="M504" s="16"/>
      <c r="N504" s="16"/>
      <c r="O504" s="16"/>
      <c r="P504" s="16"/>
      <c r="Q504" s="16"/>
      <c r="R504" s="16">
        <f>E504*2904</f>
        <v>2003760</v>
      </c>
      <c r="S504" s="16"/>
      <c r="T504" s="16"/>
      <c r="U504" s="17"/>
      <c r="V504" s="19">
        <f t="shared" ref="V504" si="123">J504+K504+L504+M504+N504+O504+P504+Q504+R504+S504+T504+U504</f>
        <v>2003760</v>
      </c>
      <c r="W504" s="20" t="s">
        <v>1174</v>
      </c>
      <c r="X504" s="37">
        <v>0</v>
      </c>
      <c r="Y504" s="37">
        <v>0</v>
      </c>
      <c r="Z504" s="79">
        <v>0</v>
      </c>
      <c r="AA504" s="19">
        <f>V504-(X504+Y504+Z504)</f>
        <v>2003760</v>
      </c>
    </row>
    <row r="505" spans="1:27" s="13" customFormat="1" ht="93.75" customHeight="1" x14ac:dyDescent="0.25">
      <c r="A505" s="17" t="str">
        <f>IF(OR(D505=0,D505=""),"",COUNTA($D$306:D505))</f>
        <v/>
      </c>
      <c r="B505" s="17"/>
      <c r="C505" s="89"/>
      <c r="D505" s="21"/>
      <c r="E505" s="26">
        <f>SUM(E504:E504)</f>
        <v>690</v>
      </c>
      <c r="F505" s="26">
        <f>SUM(F503:F504)</f>
        <v>641.20000000000005</v>
      </c>
      <c r="G505" s="26">
        <f>SUM(G503:G504)</f>
        <v>0</v>
      </c>
      <c r="H505" s="17"/>
      <c r="I505" s="15"/>
      <c r="J505" s="26"/>
      <c r="K505" s="26"/>
      <c r="L505" s="26"/>
      <c r="M505" s="29"/>
      <c r="N505" s="26"/>
      <c r="O505" s="26"/>
      <c r="P505" s="26"/>
      <c r="Q505" s="26"/>
      <c r="R505" s="26"/>
      <c r="S505" s="26"/>
      <c r="T505" s="26"/>
      <c r="U505" s="17"/>
      <c r="V505" s="26">
        <f>SUM(V504:V504)</f>
        <v>2003760</v>
      </c>
      <c r="W505" s="26"/>
      <c r="X505" s="26">
        <f>SUM(X504:X504)</f>
        <v>0</v>
      </c>
      <c r="Y505" s="26">
        <f>SUM(Y504:Y504)</f>
        <v>0</v>
      </c>
      <c r="Z505" s="80">
        <f>SUM(Z504:Z504)</f>
        <v>0</v>
      </c>
      <c r="AA505" s="28">
        <f>V505-(X505+Y505+Z505)</f>
        <v>2003760</v>
      </c>
    </row>
    <row r="506" spans="1:27" s="13" customFormat="1" ht="93.75" customHeight="1" x14ac:dyDescent="0.25">
      <c r="A506" s="17" t="str">
        <f>IF(OR(D506=0,D506=""),"",COUNTA($D$306:D506))</f>
        <v/>
      </c>
      <c r="B506" s="17"/>
      <c r="C506" s="89" t="s">
        <v>1186</v>
      </c>
      <c r="D506" s="21"/>
      <c r="E506" s="26"/>
      <c r="F506" s="26"/>
      <c r="G506" s="26"/>
      <c r="H506" s="17"/>
      <c r="I506" s="15"/>
      <c r="J506" s="26"/>
      <c r="K506" s="26"/>
      <c r="L506" s="26"/>
      <c r="M506" s="29"/>
      <c r="N506" s="26"/>
      <c r="O506" s="26"/>
      <c r="P506" s="26"/>
      <c r="Q506" s="26"/>
      <c r="R506" s="26"/>
      <c r="S506" s="26"/>
      <c r="T506" s="26"/>
      <c r="U506" s="17"/>
      <c r="V506" s="26"/>
      <c r="W506" s="31"/>
      <c r="X506" s="37"/>
      <c r="Y506" s="37"/>
      <c r="Z506" s="20"/>
      <c r="AA506" s="28"/>
    </row>
    <row r="507" spans="1:27" s="13" customFormat="1" ht="93.75" customHeight="1" x14ac:dyDescent="0.25">
      <c r="A507" s="17">
        <f>IF(OR(D507=0,D507=""),"",COUNTA($D$306:D507))</f>
        <v>172</v>
      </c>
      <c r="B507" s="17" t="s">
        <v>1112</v>
      </c>
      <c r="C507" s="92" t="s">
        <v>433</v>
      </c>
      <c r="D507" s="38">
        <v>1967</v>
      </c>
      <c r="E507" s="39">
        <v>768.7</v>
      </c>
      <c r="F507" s="39">
        <v>392.2</v>
      </c>
      <c r="G507" s="39">
        <v>264.5</v>
      </c>
      <c r="H507" s="17" t="s">
        <v>250</v>
      </c>
      <c r="I507" s="37"/>
      <c r="J507" s="16"/>
      <c r="K507" s="23"/>
      <c r="L507" s="24"/>
      <c r="M507" s="16"/>
      <c r="N507" s="16"/>
      <c r="O507" s="16"/>
      <c r="P507" s="16">
        <f>E507*3823</f>
        <v>2938740.1</v>
      </c>
      <c r="Q507" s="26"/>
      <c r="R507" s="26"/>
      <c r="S507" s="26"/>
      <c r="T507" s="26"/>
      <c r="U507" s="17"/>
      <c r="V507" s="19">
        <f t="shared" ref="V507:V508" si="124">J507+K507+L507+M507+N507+O507+P507+Q507+R507+S507+T507+U507</f>
        <v>2938740.1</v>
      </c>
      <c r="W507" s="20" t="s">
        <v>1174</v>
      </c>
      <c r="X507" s="37">
        <v>0</v>
      </c>
      <c r="Y507" s="37">
        <v>0</v>
      </c>
      <c r="Z507" s="79">
        <v>0</v>
      </c>
      <c r="AA507" s="19">
        <f>V507-(X507+Y507+Z507)</f>
        <v>2938740.1</v>
      </c>
    </row>
    <row r="508" spans="1:27" s="13" customFormat="1" ht="93.75" customHeight="1" x14ac:dyDescent="0.25">
      <c r="A508" s="17">
        <f>IF(OR(D508=0,D508=""),"",COUNTA($D$306:D508))</f>
        <v>173</v>
      </c>
      <c r="B508" s="17" t="s">
        <v>1113</v>
      </c>
      <c r="C508" s="92" t="s">
        <v>432</v>
      </c>
      <c r="D508" s="38">
        <v>1965</v>
      </c>
      <c r="E508" s="39">
        <v>1634.4</v>
      </c>
      <c r="F508" s="39">
        <v>646.1</v>
      </c>
      <c r="G508" s="39">
        <v>868.8</v>
      </c>
      <c r="H508" s="17" t="s">
        <v>250</v>
      </c>
      <c r="I508" s="37"/>
      <c r="J508" s="16"/>
      <c r="K508" s="23"/>
      <c r="L508" s="24"/>
      <c r="M508" s="16"/>
      <c r="N508" s="16"/>
      <c r="O508" s="16"/>
      <c r="P508" s="23"/>
      <c r="Q508" s="16"/>
      <c r="R508" s="16">
        <f>E508*2904</f>
        <v>4746297.6000000006</v>
      </c>
      <c r="S508" s="26"/>
      <c r="T508" s="26"/>
      <c r="U508" s="17"/>
      <c r="V508" s="19">
        <f t="shared" si="124"/>
        <v>4746297.6000000006</v>
      </c>
      <c r="W508" s="20" t="s">
        <v>1174</v>
      </c>
      <c r="X508" s="37">
        <v>0</v>
      </c>
      <c r="Y508" s="37">
        <v>0</v>
      </c>
      <c r="Z508" s="79">
        <v>0</v>
      </c>
      <c r="AA508" s="19">
        <f>V508-(X508+Y508+Z508)</f>
        <v>4746297.6000000006</v>
      </c>
    </row>
    <row r="509" spans="1:27" s="13" customFormat="1" ht="93.75" customHeight="1" x14ac:dyDescent="0.25">
      <c r="A509" s="17" t="str">
        <f>IF(OR(D509=0,D509=""),"",COUNTA($D$306:D509))</f>
        <v/>
      </c>
      <c r="B509" s="17"/>
      <c r="C509" s="89"/>
      <c r="D509" s="21"/>
      <c r="E509" s="26">
        <f>SUM(E507:E508)</f>
        <v>2403.1000000000004</v>
      </c>
      <c r="F509" s="26">
        <f t="shared" ref="F509:G509" si="125">SUM(F507:F508)</f>
        <v>1038.3</v>
      </c>
      <c r="G509" s="26">
        <f t="shared" si="125"/>
        <v>1133.3</v>
      </c>
      <c r="H509" s="17"/>
      <c r="I509" s="15"/>
      <c r="J509" s="26"/>
      <c r="K509" s="26"/>
      <c r="L509" s="26"/>
      <c r="M509" s="29"/>
      <c r="N509" s="26"/>
      <c r="O509" s="26"/>
      <c r="P509" s="26"/>
      <c r="Q509" s="26"/>
      <c r="R509" s="26"/>
      <c r="S509" s="26"/>
      <c r="T509" s="26"/>
      <c r="U509" s="17"/>
      <c r="V509" s="26">
        <f>SUM(V507:V508)</f>
        <v>7685037.7000000011</v>
      </c>
      <c r="W509" s="26"/>
      <c r="X509" s="26">
        <f t="shared" ref="X509:Z509" si="126">SUM(X507:X508)</f>
        <v>0</v>
      </c>
      <c r="Y509" s="26">
        <f t="shared" si="126"/>
        <v>0</v>
      </c>
      <c r="Z509" s="80">
        <f t="shared" si="126"/>
        <v>0</v>
      </c>
      <c r="AA509" s="28">
        <f>V509-(X509+Y509+Z509)</f>
        <v>7685037.7000000011</v>
      </c>
    </row>
    <row r="510" spans="1:27" s="13" customFormat="1" ht="93.75" customHeight="1" x14ac:dyDescent="0.25">
      <c r="A510" s="17" t="str">
        <f>IF(OR(D510=0,D510=""),"",COUNTA($D$306:D510))</f>
        <v/>
      </c>
      <c r="B510" s="17"/>
      <c r="C510" s="89" t="s">
        <v>1196</v>
      </c>
      <c r="D510" s="21"/>
      <c r="E510" s="26"/>
      <c r="F510" s="26"/>
      <c r="G510" s="26"/>
      <c r="H510" s="17"/>
      <c r="I510" s="15"/>
      <c r="J510" s="26"/>
      <c r="K510" s="26"/>
      <c r="L510" s="26"/>
      <c r="M510" s="29"/>
      <c r="N510" s="26"/>
      <c r="O510" s="26"/>
      <c r="P510" s="26"/>
      <c r="Q510" s="26"/>
      <c r="R510" s="26"/>
      <c r="S510" s="26"/>
      <c r="T510" s="26"/>
      <c r="U510" s="17"/>
      <c r="V510" s="26"/>
      <c r="W510" s="31"/>
      <c r="X510" s="37"/>
      <c r="Y510" s="37"/>
      <c r="Z510" s="20"/>
      <c r="AA510" s="28"/>
    </row>
    <row r="511" spans="1:27" s="13" customFormat="1" ht="93.75" customHeight="1" x14ac:dyDescent="0.25">
      <c r="A511" s="17">
        <f>IF(OR(D511=0,D511=""),"",COUNTA($D$306:D511))</f>
        <v>174</v>
      </c>
      <c r="B511" s="17" t="s">
        <v>1116</v>
      </c>
      <c r="C511" s="90" t="s">
        <v>227</v>
      </c>
      <c r="D511" s="43">
        <v>1959</v>
      </c>
      <c r="E511" s="16">
        <v>969.7</v>
      </c>
      <c r="F511" s="16">
        <v>882.9</v>
      </c>
      <c r="G511" s="16">
        <v>86.8</v>
      </c>
      <c r="H511" s="17" t="s">
        <v>250</v>
      </c>
      <c r="I511" s="15"/>
      <c r="J511" s="16">
        <f>E511*538</f>
        <v>521698.60000000003</v>
      </c>
      <c r="K511" s="16">
        <f>E511*2366</f>
        <v>2294310.2000000002</v>
      </c>
      <c r="L511" s="26"/>
      <c r="M511" s="16">
        <f>E511*449</f>
        <v>435395.30000000005</v>
      </c>
      <c r="N511" s="16">
        <f>E511*363</f>
        <v>352001.10000000003</v>
      </c>
      <c r="O511" s="26"/>
      <c r="P511" s="26"/>
      <c r="Q511" s="26"/>
      <c r="R511" s="26"/>
      <c r="S511" s="26"/>
      <c r="T511" s="26"/>
      <c r="U511" s="17"/>
      <c r="V511" s="19">
        <f t="shared" ref="V511:V512" si="127">J511+K511+L511+M511+N511+O511+P511+Q511+R511+S511+T511+U511</f>
        <v>3603405.2000000007</v>
      </c>
      <c r="W511" s="20" t="s">
        <v>1174</v>
      </c>
      <c r="X511" s="37">
        <v>0</v>
      </c>
      <c r="Y511" s="37">
        <v>0</v>
      </c>
      <c r="Z511" s="79">
        <v>0</v>
      </c>
      <c r="AA511" s="19">
        <f>V511-(X511+Y511+Z511)</f>
        <v>3603405.2000000007</v>
      </c>
    </row>
    <row r="512" spans="1:27" s="13" customFormat="1" ht="93.75" customHeight="1" x14ac:dyDescent="0.25">
      <c r="A512" s="17">
        <f>IF(OR(D512=0,D512=""),"",COUNTA($D$306:D512))</f>
        <v>175</v>
      </c>
      <c r="B512" s="17" t="s">
        <v>1120</v>
      </c>
      <c r="C512" s="90" t="s">
        <v>501</v>
      </c>
      <c r="D512" s="43">
        <v>2005</v>
      </c>
      <c r="E512" s="16">
        <v>5093.7</v>
      </c>
      <c r="F512" s="16">
        <v>3883.9</v>
      </c>
      <c r="G512" s="16">
        <v>718.2</v>
      </c>
      <c r="H512" s="17" t="s">
        <v>257</v>
      </c>
      <c r="I512" s="15"/>
      <c r="J512" s="16"/>
      <c r="K512" s="16"/>
      <c r="L512" s="26"/>
      <c r="M512" s="18"/>
      <c r="N512" s="16"/>
      <c r="O512" s="26"/>
      <c r="P512" s="16">
        <f>2304*E512</f>
        <v>11735884.799999999</v>
      </c>
      <c r="Q512" s="26"/>
      <c r="R512" s="26"/>
      <c r="S512" s="26"/>
      <c r="T512" s="26"/>
      <c r="U512" s="17"/>
      <c r="V512" s="19">
        <f t="shared" si="127"/>
        <v>11735884.799999999</v>
      </c>
      <c r="W512" s="20" t="s">
        <v>1174</v>
      </c>
      <c r="X512" s="37">
        <v>0</v>
      </c>
      <c r="Y512" s="37">
        <v>0</v>
      </c>
      <c r="Z512" s="79">
        <v>0</v>
      </c>
      <c r="AA512" s="19">
        <f>V512-(X512+Y512+Z512)</f>
        <v>11735884.799999999</v>
      </c>
    </row>
    <row r="513" spans="1:27" s="13" customFormat="1" ht="93.75" customHeight="1" x14ac:dyDescent="0.25">
      <c r="A513" s="17" t="str">
        <f>IF(OR(D513=0,D513=""),"",COUNTA($D$306:D513))</f>
        <v/>
      </c>
      <c r="B513" s="17"/>
      <c r="C513" s="89"/>
      <c r="D513" s="21"/>
      <c r="E513" s="26">
        <f>SUM(E511:E512)</f>
        <v>6063.4</v>
      </c>
      <c r="F513" s="26">
        <f t="shared" ref="F513:G513" si="128">SUM(F511:F512)</f>
        <v>4766.8</v>
      </c>
      <c r="G513" s="26">
        <f t="shared" si="128"/>
        <v>805</v>
      </c>
      <c r="H513" s="17"/>
      <c r="I513" s="15"/>
      <c r="J513" s="26"/>
      <c r="K513" s="26"/>
      <c r="L513" s="26"/>
      <c r="M513" s="29"/>
      <c r="N513" s="26"/>
      <c r="O513" s="26"/>
      <c r="P513" s="26"/>
      <c r="Q513" s="26"/>
      <c r="R513" s="26"/>
      <c r="S513" s="26"/>
      <c r="T513" s="26"/>
      <c r="U513" s="17"/>
      <c r="V513" s="26">
        <f>SUM(V511:V512)</f>
        <v>15339290</v>
      </c>
      <c r="W513" s="26"/>
      <c r="X513" s="26">
        <f t="shared" ref="X513:Z513" si="129">SUM(X511:X512)</f>
        <v>0</v>
      </c>
      <c r="Y513" s="26">
        <f t="shared" si="129"/>
        <v>0</v>
      </c>
      <c r="Z513" s="80">
        <f t="shared" si="129"/>
        <v>0</v>
      </c>
      <c r="AA513" s="28">
        <f>V513-(X513+Y513+Z513)</f>
        <v>15339290</v>
      </c>
    </row>
    <row r="514" spans="1:27" s="12" customFormat="1" ht="93.75" customHeight="1" x14ac:dyDescent="0.25">
      <c r="A514" s="17" t="str">
        <f>IF(OR(D514=0,D514=""),"",COUNTA($D$306:D514))</f>
        <v/>
      </c>
      <c r="B514" s="17"/>
      <c r="C514" s="89" t="s">
        <v>1197</v>
      </c>
      <c r="D514" s="43"/>
      <c r="E514" s="16"/>
      <c r="F514" s="16"/>
      <c r="G514" s="16"/>
      <c r="H514" s="17"/>
      <c r="I514" s="15"/>
      <c r="J514" s="16"/>
      <c r="K514" s="16"/>
      <c r="L514" s="16"/>
      <c r="M514" s="18"/>
      <c r="N514" s="16"/>
      <c r="O514" s="16"/>
      <c r="P514" s="16"/>
      <c r="Q514" s="16"/>
      <c r="R514" s="16"/>
      <c r="S514" s="16"/>
      <c r="T514" s="16"/>
      <c r="U514" s="16"/>
      <c r="V514" s="19"/>
      <c r="W514" s="20"/>
      <c r="X514" s="37"/>
      <c r="Y514" s="37"/>
      <c r="Z514" s="20"/>
      <c r="AA514" s="19"/>
    </row>
    <row r="515" spans="1:27" s="12" customFormat="1" ht="93.75" customHeight="1" x14ac:dyDescent="0.25">
      <c r="A515" s="17">
        <f>IF(OR(D515=0,D515=""),"",COUNTA($D$306:D515))</f>
        <v>176</v>
      </c>
      <c r="B515" s="17" t="s">
        <v>1123</v>
      </c>
      <c r="C515" s="90" t="s">
        <v>437</v>
      </c>
      <c r="D515" s="43">
        <v>1963</v>
      </c>
      <c r="E515" s="16">
        <v>614.9</v>
      </c>
      <c r="F515" s="16">
        <v>357.4</v>
      </c>
      <c r="G515" s="16">
        <v>18.5</v>
      </c>
      <c r="H515" s="17" t="s">
        <v>250</v>
      </c>
      <c r="I515" s="26"/>
      <c r="J515" s="26"/>
      <c r="K515" s="26"/>
      <c r="L515" s="29"/>
      <c r="M515" s="16"/>
      <c r="N515" s="26"/>
      <c r="O515" s="16"/>
      <c r="P515" s="16">
        <f t="shared" ref="P515:P520" si="130">E515*3823</f>
        <v>2350762.6999999997</v>
      </c>
      <c r="Q515" s="16"/>
      <c r="R515" s="16">
        <f>E515*2904</f>
        <v>1785669.5999999999</v>
      </c>
      <c r="S515" s="16"/>
      <c r="T515" s="16"/>
      <c r="U515" s="16"/>
      <c r="V515" s="19">
        <f t="shared" ref="V515:V520" si="131">J515+K515+L515+M515+N515+O515+P515+Q515+R515+S515+T515+U515</f>
        <v>4136432.3</v>
      </c>
      <c r="W515" s="20" t="s">
        <v>1174</v>
      </c>
      <c r="X515" s="37">
        <v>0</v>
      </c>
      <c r="Y515" s="37">
        <v>0</v>
      </c>
      <c r="Z515" s="79">
        <v>0</v>
      </c>
      <c r="AA515" s="19">
        <f t="shared" ref="AA515:AA521" si="132">V515-(X515+Y515+Z515)</f>
        <v>4136432.3</v>
      </c>
    </row>
    <row r="516" spans="1:27" s="12" customFormat="1" ht="93.75" customHeight="1" x14ac:dyDescent="0.25">
      <c r="A516" s="17">
        <f>IF(OR(D516=0,D516=""),"",COUNTA($D$306:D516))</f>
        <v>177</v>
      </c>
      <c r="B516" s="17" t="s">
        <v>1126</v>
      </c>
      <c r="C516" s="90" t="s">
        <v>473</v>
      </c>
      <c r="D516" s="43">
        <v>1959</v>
      </c>
      <c r="E516" s="16">
        <v>441</v>
      </c>
      <c r="F516" s="16">
        <v>402</v>
      </c>
      <c r="G516" s="16">
        <v>0</v>
      </c>
      <c r="H516" s="17" t="s">
        <v>250</v>
      </c>
      <c r="I516" s="15"/>
      <c r="J516" s="16"/>
      <c r="K516" s="16"/>
      <c r="L516" s="16"/>
      <c r="M516" s="18"/>
      <c r="N516" s="16"/>
      <c r="O516" s="16"/>
      <c r="P516" s="16">
        <f t="shared" si="130"/>
        <v>1685943</v>
      </c>
      <c r="Q516" s="16"/>
      <c r="R516" s="16"/>
      <c r="S516" s="16"/>
      <c r="T516" s="16"/>
      <c r="U516" s="16"/>
      <c r="V516" s="19">
        <f t="shared" si="131"/>
        <v>1685943</v>
      </c>
      <c r="W516" s="20" t="s">
        <v>1174</v>
      </c>
      <c r="X516" s="37">
        <v>0</v>
      </c>
      <c r="Y516" s="37">
        <v>0</v>
      </c>
      <c r="Z516" s="79">
        <v>0</v>
      </c>
      <c r="AA516" s="19">
        <f t="shared" si="132"/>
        <v>1685943</v>
      </c>
    </row>
    <row r="517" spans="1:27" s="12" customFormat="1" ht="93.75" customHeight="1" x14ac:dyDescent="0.25">
      <c r="A517" s="17">
        <f>IF(OR(D517=0,D517=""),"",COUNTA($D$306:D517))</f>
        <v>178</v>
      </c>
      <c r="B517" s="17" t="s">
        <v>1121</v>
      </c>
      <c r="C517" s="90" t="s">
        <v>486</v>
      </c>
      <c r="D517" s="43">
        <v>1962</v>
      </c>
      <c r="E517" s="16">
        <v>380.2</v>
      </c>
      <c r="F517" s="16">
        <v>356.5</v>
      </c>
      <c r="G517" s="16">
        <v>0</v>
      </c>
      <c r="H517" s="17" t="s">
        <v>250</v>
      </c>
      <c r="I517" s="15"/>
      <c r="J517" s="16"/>
      <c r="K517" s="16"/>
      <c r="L517" s="16"/>
      <c r="M517" s="18"/>
      <c r="N517" s="16"/>
      <c r="O517" s="16"/>
      <c r="P517" s="16">
        <f t="shared" si="130"/>
        <v>1453504.5999999999</v>
      </c>
      <c r="Q517" s="16"/>
      <c r="R517" s="16"/>
      <c r="S517" s="16"/>
      <c r="T517" s="16"/>
      <c r="U517" s="16"/>
      <c r="V517" s="19">
        <f t="shared" si="131"/>
        <v>1453504.5999999999</v>
      </c>
      <c r="W517" s="20" t="s">
        <v>1174</v>
      </c>
      <c r="X517" s="37">
        <v>0</v>
      </c>
      <c r="Y517" s="37">
        <v>0</v>
      </c>
      <c r="Z517" s="79">
        <v>0</v>
      </c>
      <c r="AA517" s="19">
        <f t="shared" si="132"/>
        <v>1453504.5999999999</v>
      </c>
    </row>
    <row r="518" spans="1:27" s="12" customFormat="1" ht="93.75" customHeight="1" x14ac:dyDescent="0.25">
      <c r="A518" s="17">
        <f>IF(OR(D518=0,D518=""),"",COUNTA($D$306:D518))</f>
        <v>179</v>
      </c>
      <c r="B518" s="17" t="s">
        <v>1124</v>
      </c>
      <c r="C518" s="90" t="s">
        <v>487</v>
      </c>
      <c r="D518" s="43">
        <v>1963</v>
      </c>
      <c r="E518" s="16">
        <v>437.9</v>
      </c>
      <c r="F518" s="16">
        <v>402.2</v>
      </c>
      <c r="G518" s="16">
        <v>0</v>
      </c>
      <c r="H518" s="17" t="s">
        <v>250</v>
      </c>
      <c r="I518" s="15"/>
      <c r="J518" s="16"/>
      <c r="K518" s="16"/>
      <c r="L518" s="16"/>
      <c r="M518" s="18"/>
      <c r="N518" s="16"/>
      <c r="O518" s="16"/>
      <c r="P518" s="16">
        <f t="shared" si="130"/>
        <v>1674091.7</v>
      </c>
      <c r="Q518" s="16"/>
      <c r="R518" s="16"/>
      <c r="S518" s="16"/>
      <c r="T518" s="16"/>
      <c r="U518" s="16"/>
      <c r="V518" s="19">
        <f t="shared" si="131"/>
        <v>1674091.7</v>
      </c>
      <c r="W518" s="20" t="s">
        <v>1174</v>
      </c>
      <c r="X518" s="37">
        <v>0</v>
      </c>
      <c r="Y518" s="37">
        <v>0</v>
      </c>
      <c r="Z518" s="79">
        <v>0</v>
      </c>
      <c r="AA518" s="19">
        <f t="shared" si="132"/>
        <v>1674091.7</v>
      </c>
    </row>
    <row r="519" spans="1:27" s="12" customFormat="1" ht="93.75" customHeight="1" x14ac:dyDescent="0.25">
      <c r="A519" s="17">
        <f>IF(OR(D519=0,D519=""),"",COUNTA($D$306:D519))</f>
        <v>180</v>
      </c>
      <c r="B519" s="17" t="s">
        <v>1125</v>
      </c>
      <c r="C519" s="90" t="s">
        <v>488</v>
      </c>
      <c r="D519" s="43">
        <v>1963</v>
      </c>
      <c r="E519" s="16">
        <v>502.4</v>
      </c>
      <c r="F519" s="16">
        <v>374.9</v>
      </c>
      <c r="G519" s="16">
        <v>66.099999999999994</v>
      </c>
      <c r="H519" s="17" t="s">
        <v>250</v>
      </c>
      <c r="I519" s="15"/>
      <c r="J519" s="16"/>
      <c r="K519" s="16"/>
      <c r="L519" s="16"/>
      <c r="M519" s="18"/>
      <c r="N519" s="16"/>
      <c r="O519" s="16"/>
      <c r="P519" s="16">
        <f t="shared" si="130"/>
        <v>1920675.2</v>
      </c>
      <c r="Q519" s="16"/>
      <c r="R519" s="16"/>
      <c r="S519" s="16"/>
      <c r="T519" s="16"/>
      <c r="U519" s="16"/>
      <c r="V519" s="19">
        <f t="shared" si="131"/>
        <v>1920675.2</v>
      </c>
      <c r="W519" s="20" t="s">
        <v>1174</v>
      </c>
      <c r="X519" s="37">
        <v>0</v>
      </c>
      <c r="Y519" s="37">
        <v>0</v>
      </c>
      <c r="Z519" s="79">
        <v>0</v>
      </c>
      <c r="AA519" s="19">
        <f t="shared" si="132"/>
        <v>1920675.2</v>
      </c>
    </row>
    <row r="520" spans="1:27" s="12" customFormat="1" ht="93.75" customHeight="1" x14ac:dyDescent="0.25">
      <c r="A520" s="17">
        <f>IF(OR(D520=0,D520=""),"",COUNTA($D$306:D520))</f>
        <v>181</v>
      </c>
      <c r="B520" s="17" t="s">
        <v>1127</v>
      </c>
      <c r="C520" s="90" t="s">
        <v>474</v>
      </c>
      <c r="D520" s="43">
        <v>1960</v>
      </c>
      <c r="E520" s="16">
        <v>450.9</v>
      </c>
      <c r="F520" s="16">
        <v>411</v>
      </c>
      <c r="G520" s="16">
        <v>0</v>
      </c>
      <c r="H520" s="17" t="s">
        <v>250</v>
      </c>
      <c r="I520" s="15"/>
      <c r="J520" s="16"/>
      <c r="K520" s="16"/>
      <c r="L520" s="16"/>
      <c r="M520" s="18"/>
      <c r="N520" s="16"/>
      <c r="O520" s="16"/>
      <c r="P520" s="16">
        <f t="shared" si="130"/>
        <v>1723790.7</v>
      </c>
      <c r="Q520" s="16"/>
      <c r="R520" s="16"/>
      <c r="S520" s="16"/>
      <c r="T520" s="16"/>
      <c r="U520" s="16"/>
      <c r="V520" s="19">
        <f t="shared" si="131"/>
        <v>1723790.7</v>
      </c>
      <c r="W520" s="20" t="s">
        <v>1174</v>
      </c>
      <c r="X520" s="37">
        <v>0</v>
      </c>
      <c r="Y520" s="37">
        <v>0</v>
      </c>
      <c r="Z520" s="79">
        <v>0</v>
      </c>
      <c r="AA520" s="19">
        <f t="shared" si="132"/>
        <v>1723790.7</v>
      </c>
    </row>
    <row r="521" spans="1:27" s="13" customFormat="1" ht="93.75" customHeight="1" x14ac:dyDescent="0.25">
      <c r="A521" s="17" t="str">
        <f>IF(OR(D521=0,D521=""),"",COUNTA($D$306:D521))</f>
        <v/>
      </c>
      <c r="B521" s="17"/>
      <c r="C521" s="89"/>
      <c r="D521" s="21"/>
      <c r="E521" s="26">
        <f>SUM(E515:E520)</f>
        <v>2827.3</v>
      </c>
      <c r="F521" s="26">
        <f>SUM(F515:F520)</f>
        <v>2304</v>
      </c>
      <c r="G521" s="26">
        <f>SUM(G515:G520)</f>
        <v>84.6</v>
      </c>
      <c r="H521" s="17"/>
      <c r="I521" s="15"/>
      <c r="J521" s="26"/>
      <c r="K521" s="26"/>
      <c r="L521" s="26"/>
      <c r="M521" s="29"/>
      <c r="N521" s="26"/>
      <c r="O521" s="26"/>
      <c r="P521" s="26"/>
      <c r="Q521" s="26"/>
      <c r="R521" s="26"/>
      <c r="S521" s="26"/>
      <c r="T521" s="26"/>
      <c r="U521" s="17"/>
      <c r="V521" s="26">
        <f>SUM(V515:V520)</f>
        <v>12594437.499999998</v>
      </c>
      <c r="W521" s="26"/>
      <c r="X521" s="26">
        <f>SUM(X515:X520)</f>
        <v>0</v>
      </c>
      <c r="Y521" s="26">
        <f>SUM(Y515:Y520)</f>
        <v>0</v>
      </c>
      <c r="Z521" s="80">
        <f>SUM(Z515:Z520)</f>
        <v>0</v>
      </c>
      <c r="AA521" s="28">
        <f t="shared" si="132"/>
        <v>12594437.499999998</v>
      </c>
    </row>
    <row r="522" spans="1:27" s="13" customFormat="1" ht="93.75" customHeight="1" x14ac:dyDescent="0.25">
      <c r="A522" s="17" t="str">
        <f>IF(OR(D522=0,D522=""),"",COUNTA($D$306:D522))</f>
        <v/>
      </c>
      <c r="B522" s="17"/>
      <c r="C522" s="89" t="s">
        <v>1198</v>
      </c>
      <c r="D522" s="21"/>
      <c r="E522" s="26"/>
      <c r="F522" s="26"/>
      <c r="G522" s="26"/>
      <c r="H522" s="17"/>
      <c r="I522" s="15"/>
      <c r="J522" s="26"/>
      <c r="K522" s="26"/>
      <c r="L522" s="26"/>
      <c r="M522" s="29"/>
      <c r="N522" s="26"/>
      <c r="O522" s="26"/>
      <c r="P522" s="26"/>
      <c r="Q522" s="26"/>
      <c r="R522" s="26"/>
      <c r="S522" s="26"/>
      <c r="T522" s="26"/>
      <c r="U522" s="17"/>
      <c r="V522" s="26"/>
      <c r="W522" s="31"/>
      <c r="X522" s="37"/>
      <c r="Y522" s="37"/>
      <c r="Z522" s="20"/>
      <c r="AA522" s="28"/>
    </row>
    <row r="523" spans="1:27" s="13" customFormat="1" ht="93.75" customHeight="1" x14ac:dyDescent="0.25">
      <c r="A523" s="17">
        <f>IF(OR(D523=0,D523=""),"",COUNTA($D$306:D523))</f>
        <v>182</v>
      </c>
      <c r="B523" s="17" t="s">
        <v>1128</v>
      </c>
      <c r="C523" s="90" t="s">
        <v>436</v>
      </c>
      <c r="D523" s="43">
        <v>1969</v>
      </c>
      <c r="E523" s="16">
        <v>975.5</v>
      </c>
      <c r="F523" s="16">
        <v>593.5</v>
      </c>
      <c r="G523" s="16">
        <v>382</v>
      </c>
      <c r="H523" s="17" t="s">
        <v>250</v>
      </c>
      <c r="I523" s="15"/>
      <c r="J523" s="26"/>
      <c r="K523" s="26"/>
      <c r="L523" s="26"/>
      <c r="M523" s="29"/>
      <c r="N523" s="26"/>
      <c r="O523" s="26"/>
      <c r="P523" s="16">
        <f>E523*3823</f>
        <v>3729336.5</v>
      </c>
      <c r="Q523" s="26"/>
      <c r="R523" s="16">
        <f>E523*2904</f>
        <v>2832852</v>
      </c>
      <c r="S523" s="26"/>
      <c r="T523" s="26"/>
      <c r="U523" s="17"/>
      <c r="V523" s="19">
        <f t="shared" ref="V523" si="133">J523+K523+L523+M523+N523+O523+P523+Q523+R523+S523+T523+U523</f>
        <v>6562188.5</v>
      </c>
      <c r="W523" s="20" t="s">
        <v>1174</v>
      </c>
      <c r="X523" s="37">
        <v>0</v>
      </c>
      <c r="Y523" s="37">
        <v>0</v>
      </c>
      <c r="Z523" s="79">
        <v>0</v>
      </c>
      <c r="AA523" s="19">
        <f>V523-(X523+Y523+Z523)</f>
        <v>6562188.5</v>
      </c>
    </row>
    <row r="524" spans="1:27" s="13" customFormat="1" ht="93.75" customHeight="1" x14ac:dyDescent="0.25">
      <c r="A524" s="17" t="str">
        <f>IF(OR(D524=0,D524=""),"",COUNTA($D$306:D524))</f>
        <v/>
      </c>
      <c r="B524" s="17"/>
      <c r="C524" s="89"/>
      <c r="D524" s="21"/>
      <c r="E524" s="26">
        <f>SUM(E523)</f>
        <v>975.5</v>
      </c>
      <c r="F524" s="26">
        <f t="shared" ref="F524" si="134">SUM(F523)</f>
        <v>593.5</v>
      </c>
      <c r="G524" s="26">
        <f t="shared" ref="G524" si="135">SUM(G523)</f>
        <v>382</v>
      </c>
      <c r="H524" s="17"/>
      <c r="I524" s="15"/>
      <c r="J524" s="26"/>
      <c r="K524" s="26"/>
      <c r="L524" s="26"/>
      <c r="M524" s="29"/>
      <c r="N524" s="26"/>
      <c r="O524" s="26"/>
      <c r="P524" s="26"/>
      <c r="Q524" s="26"/>
      <c r="R524" s="26"/>
      <c r="S524" s="26"/>
      <c r="T524" s="26"/>
      <c r="U524" s="17"/>
      <c r="V524" s="26">
        <f>SUM(V523)</f>
        <v>6562188.5</v>
      </c>
      <c r="W524" s="26"/>
      <c r="X524" s="26">
        <f t="shared" ref="X524:Z524" si="136">SUM(X523)</f>
        <v>0</v>
      </c>
      <c r="Y524" s="26">
        <f t="shared" si="136"/>
        <v>0</v>
      </c>
      <c r="Z524" s="80">
        <f t="shared" si="136"/>
        <v>0</v>
      </c>
      <c r="AA524" s="28">
        <f>V524-(X524+Y524+Z524)</f>
        <v>6562188.5</v>
      </c>
    </row>
    <row r="525" spans="1:27" s="12" customFormat="1" ht="93.75" customHeight="1" x14ac:dyDescent="0.25">
      <c r="A525" s="17" t="str">
        <f>IF(OR(D525=0,D525=""),"",COUNTA($D$306:D525))</f>
        <v/>
      </c>
      <c r="B525" s="17"/>
      <c r="C525" s="89" t="s">
        <v>1217</v>
      </c>
      <c r="D525" s="43"/>
      <c r="E525" s="16"/>
      <c r="F525" s="16"/>
      <c r="G525" s="16"/>
      <c r="H525" s="17"/>
      <c r="I525" s="15"/>
      <c r="J525" s="16"/>
      <c r="K525" s="16"/>
      <c r="L525" s="16"/>
      <c r="M525" s="18"/>
      <c r="N525" s="16"/>
      <c r="O525" s="16"/>
      <c r="P525" s="16"/>
      <c r="Q525" s="16"/>
      <c r="R525" s="16"/>
      <c r="S525" s="16"/>
      <c r="T525" s="16"/>
      <c r="U525" s="15"/>
      <c r="V525" s="19"/>
      <c r="W525" s="20"/>
      <c r="X525" s="37"/>
      <c r="Y525" s="37"/>
      <c r="Z525" s="20"/>
      <c r="AA525" s="19"/>
    </row>
    <row r="526" spans="1:27" s="12" customFormat="1" ht="93.75" customHeight="1" x14ac:dyDescent="0.25">
      <c r="A526" s="17">
        <f>IF(OR(D526=0,D526=""),"",COUNTA($D$306:D526))</f>
        <v>183</v>
      </c>
      <c r="B526" s="17" t="s">
        <v>1142</v>
      </c>
      <c r="C526" s="90" t="s">
        <v>435</v>
      </c>
      <c r="D526" s="43">
        <v>1950</v>
      </c>
      <c r="E526" s="16">
        <v>1074.5</v>
      </c>
      <c r="F526" s="16">
        <v>371.3</v>
      </c>
      <c r="G526" s="16">
        <v>703.2</v>
      </c>
      <c r="H526" s="17" t="s">
        <v>258</v>
      </c>
      <c r="I526" s="15"/>
      <c r="J526" s="16"/>
      <c r="K526" s="16"/>
      <c r="L526" s="23"/>
      <c r="M526" s="24"/>
      <c r="N526" s="16"/>
      <c r="O526" s="16"/>
      <c r="P526" s="23"/>
      <c r="Q526" s="23"/>
      <c r="R526" s="16">
        <f>E526*7525</f>
        <v>8085612.5</v>
      </c>
      <c r="S526" s="23"/>
      <c r="T526" s="16"/>
      <c r="U526" s="16"/>
      <c r="V526" s="19">
        <f t="shared" ref="V526:V531" si="137">J526+K526+L526+M526+N526+O526+P526+Q526+R526+S526+T526+U526</f>
        <v>8085612.5</v>
      </c>
      <c r="W526" s="20" t="s">
        <v>1174</v>
      </c>
      <c r="X526" s="37">
        <v>0</v>
      </c>
      <c r="Y526" s="37">
        <v>0</v>
      </c>
      <c r="Z526" s="79">
        <v>0</v>
      </c>
      <c r="AA526" s="19">
        <f t="shared" ref="AA526:AA531" si="138">V526-(X526+Y526+Z526)</f>
        <v>8085612.5</v>
      </c>
    </row>
    <row r="527" spans="1:27" s="12" customFormat="1" ht="93.75" customHeight="1" x14ac:dyDescent="0.25">
      <c r="A527" s="17">
        <f>IF(OR(D527=0,D527=""),"",COUNTA($D$306:D527))</f>
        <v>184</v>
      </c>
      <c r="B527" s="17" t="s">
        <v>1136</v>
      </c>
      <c r="C527" s="90" t="s">
        <v>340</v>
      </c>
      <c r="D527" s="43">
        <v>1998</v>
      </c>
      <c r="E527" s="16">
        <v>5954.4</v>
      </c>
      <c r="F527" s="16">
        <v>3850.9</v>
      </c>
      <c r="G527" s="16">
        <v>2103.5</v>
      </c>
      <c r="H527" s="17" t="s">
        <v>255</v>
      </c>
      <c r="I527" s="15">
        <v>2</v>
      </c>
      <c r="J527" s="16"/>
      <c r="K527" s="16"/>
      <c r="L527" s="23"/>
      <c r="M527" s="24"/>
      <c r="N527" s="16"/>
      <c r="O527" s="16">
        <f t="shared" ref="O527:O528" si="139">2900000*I527</f>
        <v>5800000</v>
      </c>
      <c r="P527" s="23"/>
      <c r="Q527" s="23"/>
      <c r="R527" s="23"/>
      <c r="S527" s="23"/>
      <c r="T527" s="16">
        <f>48*E527</f>
        <v>285811.19999999995</v>
      </c>
      <c r="U527" s="16"/>
      <c r="V527" s="19">
        <f t="shared" si="137"/>
        <v>6085811.2000000002</v>
      </c>
      <c r="W527" s="20" t="s">
        <v>1174</v>
      </c>
      <c r="X527" s="37">
        <v>0</v>
      </c>
      <c r="Y527" s="37">
        <v>0</v>
      </c>
      <c r="Z527" s="79">
        <v>0</v>
      </c>
      <c r="AA527" s="19">
        <f t="shared" si="138"/>
        <v>6085811.2000000002</v>
      </c>
    </row>
    <row r="528" spans="1:27" s="12" customFormat="1" ht="93.75" customHeight="1" x14ac:dyDescent="0.25">
      <c r="A528" s="17">
        <f>IF(OR(D528=0,D528=""),"",COUNTA($D$306:D528))</f>
        <v>185</v>
      </c>
      <c r="B528" s="17" t="s">
        <v>1144</v>
      </c>
      <c r="C528" s="90" t="s">
        <v>341</v>
      </c>
      <c r="D528" s="43">
        <v>1992</v>
      </c>
      <c r="E528" s="16">
        <v>8732.5</v>
      </c>
      <c r="F528" s="16">
        <v>5845.7</v>
      </c>
      <c r="G528" s="16">
        <v>2886.8</v>
      </c>
      <c r="H528" s="17" t="s">
        <v>255</v>
      </c>
      <c r="I528" s="15">
        <v>3</v>
      </c>
      <c r="J528" s="16"/>
      <c r="K528" s="16"/>
      <c r="L528" s="23"/>
      <c r="M528" s="24"/>
      <c r="N528" s="16"/>
      <c r="O528" s="16">
        <f t="shared" si="139"/>
        <v>8700000</v>
      </c>
      <c r="P528" s="23"/>
      <c r="Q528" s="23"/>
      <c r="R528" s="23"/>
      <c r="S528" s="23"/>
      <c r="T528" s="16">
        <f>48*E528</f>
        <v>419160</v>
      </c>
      <c r="U528" s="16"/>
      <c r="V528" s="19">
        <f t="shared" si="137"/>
        <v>9119160</v>
      </c>
      <c r="W528" s="20" t="s">
        <v>1174</v>
      </c>
      <c r="X528" s="37">
        <v>0</v>
      </c>
      <c r="Y528" s="37">
        <v>0</v>
      </c>
      <c r="Z528" s="79">
        <v>0</v>
      </c>
      <c r="AA528" s="19">
        <f t="shared" si="138"/>
        <v>9119160</v>
      </c>
    </row>
    <row r="529" spans="1:27" s="12" customFormat="1" ht="93.75" customHeight="1" x14ac:dyDescent="0.25">
      <c r="A529" s="17">
        <f>IF(OR(D529=0,D529=""),"",COUNTA($D$306:D529))</f>
        <v>186</v>
      </c>
      <c r="B529" s="17" t="s">
        <v>1131</v>
      </c>
      <c r="C529" s="90" t="s">
        <v>229</v>
      </c>
      <c r="D529" s="43">
        <v>1917</v>
      </c>
      <c r="E529" s="16">
        <v>1076.0999999999999</v>
      </c>
      <c r="F529" s="16">
        <v>237.6</v>
      </c>
      <c r="G529" s="16">
        <v>0</v>
      </c>
      <c r="H529" s="17" t="s">
        <v>250</v>
      </c>
      <c r="I529" s="15"/>
      <c r="J529" s="16">
        <f>E529*538</f>
        <v>578941.79999999993</v>
      </c>
      <c r="K529" s="16"/>
      <c r="L529" s="16"/>
      <c r="M529" s="16"/>
      <c r="N529" s="16"/>
      <c r="O529" s="16"/>
      <c r="P529" s="16">
        <f>E529*3823</f>
        <v>4113930.3</v>
      </c>
      <c r="Q529" s="16"/>
      <c r="R529" s="16">
        <f>E529*2904</f>
        <v>3124994.4</v>
      </c>
      <c r="S529" s="16">
        <f>E529*116</f>
        <v>124827.59999999999</v>
      </c>
      <c r="T529" s="23"/>
      <c r="U529" s="16"/>
      <c r="V529" s="19">
        <f t="shared" si="137"/>
        <v>7942694.0999999996</v>
      </c>
      <c r="W529" s="20" t="s">
        <v>1174</v>
      </c>
      <c r="X529" s="37">
        <v>0</v>
      </c>
      <c r="Y529" s="37">
        <v>0</v>
      </c>
      <c r="Z529" s="79">
        <v>0</v>
      </c>
      <c r="AA529" s="19">
        <f t="shared" si="138"/>
        <v>7942694.0999999996</v>
      </c>
    </row>
    <row r="530" spans="1:27" s="12" customFormat="1" ht="93.75" customHeight="1" x14ac:dyDescent="0.25">
      <c r="A530" s="17">
        <f>IF(OR(D530=0,D530=""),"",COUNTA($D$306:D530))</f>
        <v>187</v>
      </c>
      <c r="B530" s="17" t="s">
        <v>1134</v>
      </c>
      <c r="C530" s="90" t="s">
        <v>230</v>
      </c>
      <c r="D530" s="43">
        <v>1960</v>
      </c>
      <c r="E530" s="16">
        <v>2806.9</v>
      </c>
      <c r="F530" s="16">
        <v>1423.9</v>
      </c>
      <c r="G530" s="16">
        <v>113.5</v>
      </c>
      <c r="H530" s="17" t="s">
        <v>254</v>
      </c>
      <c r="I530" s="15"/>
      <c r="J530" s="16"/>
      <c r="K530" s="16"/>
      <c r="L530" s="16"/>
      <c r="M530" s="16"/>
      <c r="N530" s="16"/>
      <c r="O530" s="16"/>
      <c r="P530" s="16"/>
      <c r="Q530" s="16"/>
      <c r="R530" s="16">
        <f>E530*2904</f>
        <v>8151237.6000000006</v>
      </c>
      <c r="S530" s="16"/>
      <c r="T530" s="16"/>
      <c r="U530" s="16"/>
      <c r="V530" s="19">
        <f t="shared" si="137"/>
        <v>8151237.6000000006</v>
      </c>
      <c r="W530" s="20" t="s">
        <v>1174</v>
      </c>
      <c r="X530" s="37">
        <v>0</v>
      </c>
      <c r="Y530" s="37">
        <v>0</v>
      </c>
      <c r="Z530" s="79">
        <v>0</v>
      </c>
      <c r="AA530" s="19">
        <f t="shared" si="138"/>
        <v>8151237.6000000006</v>
      </c>
    </row>
    <row r="531" spans="1:27" s="12" customFormat="1" ht="93.75" customHeight="1" x14ac:dyDescent="0.25">
      <c r="A531" s="17">
        <f>IF(OR(D531=0,D531=""),"",COUNTA($D$306:D531))</f>
        <v>188</v>
      </c>
      <c r="B531" s="17" t="s">
        <v>1135</v>
      </c>
      <c r="C531" s="90" t="s">
        <v>231</v>
      </c>
      <c r="D531" s="43">
        <v>1962</v>
      </c>
      <c r="E531" s="16">
        <v>1261.7</v>
      </c>
      <c r="F531" s="16">
        <v>616.70000000000005</v>
      </c>
      <c r="G531" s="16">
        <v>0</v>
      </c>
      <c r="H531" s="17" t="s">
        <v>250</v>
      </c>
      <c r="I531" s="15"/>
      <c r="J531" s="16">
        <f>E531*538</f>
        <v>678794.6</v>
      </c>
      <c r="K531" s="16"/>
      <c r="L531" s="16"/>
      <c r="M531" s="16"/>
      <c r="N531" s="16"/>
      <c r="O531" s="16"/>
      <c r="P531" s="16">
        <f>E531*3823</f>
        <v>4823479.1000000006</v>
      </c>
      <c r="Q531" s="16"/>
      <c r="R531" s="16">
        <f>E531*2904</f>
        <v>3663976.8000000003</v>
      </c>
      <c r="S531" s="16">
        <f>E531*116</f>
        <v>146357.20000000001</v>
      </c>
      <c r="T531" s="16"/>
      <c r="U531" s="16"/>
      <c r="V531" s="19">
        <f t="shared" si="137"/>
        <v>9312607.6999999993</v>
      </c>
      <c r="W531" s="20" t="s">
        <v>1174</v>
      </c>
      <c r="X531" s="37">
        <v>0</v>
      </c>
      <c r="Y531" s="37">
        <v>0</v>
      </c>
      <c r="Z531" s="79">
        <v>0</v>
      </c>
      <c r="AA531" s="19">
        <f t="shared" si="138"/>
        <v>9312607.6999999993</v>
      </c>
    </row>
    <row r="532" spans="1:27" s="13" customFormat="1" ht="93.75" customHeight="1" x14ac:dyDescent="0.25">
      <c r="A532" s="17" t="str">
        <f>IF(OR(D532=0,D532=""),"",COUNTA($D$308:D532))</f>
        <v/>
      </c>
      <c r="B532" s="17"/>
      <c r="C532" s="89"/>
      <c r="D532" s="21"/>
      <c r="E532" s="26">
        <f>SUM(E526:E531)</f>
        <v>20906.100000000002</v>
      </c>
      <c r="F532" s="26">
        <f>SUM(F526:F531)</f>
        <v>12346.1</v>
      </c>
      <c r="G532" s="26">
        <f>SUM(G526:G531)</f>
        <v>5807</v>
      </c>
      <c r="H532" s="17"/>
      <c r="I532" s="17"/>
      <c r="J532" s="26"/>
      <c r="K532" s="26"/>
      <c r="L532" s="26"/>
      <c r="M532" s="29"/>
      <c r="N532" s="26"/>
      <c r="O532" s="26"/>
      <c r="P532" s="26"/>
      <c r="Q532" s="26"/>
      <c r="R532" s="26"/>
      <c r="S532" s="26"/>
      <c r="T532" s="26"/>
      <c r="U532" s="17"/>
      <c r="V532" s="26">
        <f>SUM(V526:V531)</f>
        <v>48697123.099999994</v>
      </c>
      <c r="W532" s="26"/>
      <c r="X532" s="26">
        <f>SUM(X526:X531)</f>
        <v>0</v>
      </c>
      <c r="Y532" s="26">
        <f>SUM(Y526:Y531)</f>
        <v>0</v>
      </c>
      <c r="Z532" s="80">
        <f>SUM(Z526:Z531)</f>
        <v>0</v>
      </c>
      <c r="AA532" s="28">
        <f t="shared" ref="AA532" si="140">V532-(X532+Y532+Z532)</f>
        <v>48697123.099999994</v>
      </c>
    </row>
    <row r="533" spans="1:27" s="12" customFormat="1" ht="93.6" customHeight="1" x14ac:dyDescent="0.25">
      <c r="A533" s="17" t="str">
        <f>IF(OR(D533=0,D533=""),"",COUNTA($D$308:D533))</f>
        <v/>
      </c>
      <c r="B533" s="17"/>
      <c r="C533" s="89" t="s">
        <v>238</v>
      </c>
      <c r="D533" s="43"/>
      <c r="E533" s="26">
        <f>E307+E310+E341+E346+E458+E462+E479+E484+E487+E490+E493+E496+E499+E502+E509+E513+E521+E524+E532+E505</f>
        <v>1241914.3460000001</v>
      </c>
      <c r="F533" s="26">
        <f>F307+F310+F341+F346+F458+F462+F479+F484+F487+F490+F493+F496+F499+F502+F509+F513+F521+F524+F532+F505</f>
        <v>867537.55999999982</v>
      </c>
      <c r="G533" s="26">
        <f>G307+G310+G341+G346+G458+G462+G479+G484+G487+G490+G493+G496+G499+G502+G509+G513+G521+G524+G532+G505</f>
        <v>85587.410000000018</v>
      </c>
      <c r="H533" s="17"/>
      <c r="I533" s="15"/>
      <c r="J533" s="16"/>
      <c r="K533" s="16"/>
      <c r="L533" s="16"/>
      <c r="M533" s="18"/>
      <c r="N533" s="16"/>
      <c r="O533" s="16"/>
      <c r="P533" s="16"/>
      <c r="Q533" s="16"/>
      <c r="R533" s="16"/>
      <c r="S533" s="16"/>
      <c r="T533" s="16"/>
      <c r="U533" s="15"/>
      <c r="V533" s="26">
        <f>V307+V310+V341+V346+V458+V462+V479+V484+V487+V490+V493+V496+V499+V502+V509+V513+V521+V524+V532+V505</f>
        <v>2005348205.6194401</v>
      </c>
      <c r="W533" s="26"/>
      <c r="X533" s="26">
        <f>X307+X310+X341+X346+X458+X462+X479+X484+X487+X490+X493+X496+X499+X502+X509+X513+X521+X524+X532+X505</f>
        <v>83623307.520000011</v>
      </c>
      <c r="Y533" s="26">
        <f>Y307+Y310+Y341+Y346+Y458+Y462+Y479+Y484+Y487+Y490+Y493+Y496+Y499+Y502+Y509+Y513+Y521+Y524+Y532+Y505</f>
        <v>74846648.180000007</v>
      </c>
      <c r="Z533" s="79">
        <v>0</v>
      </c>
      <c r="AA533" s="26">
        <f>AA307+AA310+AA341+AA346+AA458+AA462+AA479+AA484+AA487+AA490+AA493+AA496+AA499+AA502+AA509+AA513+AA521+AA524+AA532+AA505</f>
        <v>1846878249.91944</v>
      </c>
    </row>
    <row r="534" spans="1:27" s="12" customFormat="1" ht="93.75" customHeight="1" x14ac:dyDescent="0.25">
      <c r="A534" s="17" t="str">
        <f>IF(OR(D534=0,D534=""),"",COUNTA($D$308:D534))</f>
        <v/>
      </c>
      <c r="B534" s="17"/>
      <c r="C534" s="89" t="s">
        <v>239</v>
      </c>
      <c r="D534" s="43"/>
      <c r="E534" s="16"/>
      <c r="F534" s="16"/>
      <c r="G534" s="16"/>
      <c r="H534" s="17"/>
      <c r="I534" s="15"/>
      <c r="J534" s="16"/>
      <c r="K534" s="16"/>
      <c r="L534" s="16"/>
      <c r="M534" s="18"/>
      <c r="N534" s="16"/>
      <c r="O534" s="16"/>
      <c r="P534" s="16"/>
      <c r="Q534" s="16"/>
      <c r="R534" s="16"/>
      <c r="S534" s="16"/>
      <c r="T534" s="16"/>
      <c r="U534" s="15"/>
      <c r="V534" s="19"/>
      <c r="W534" s="20"/>
      <c r="X534" s="37"/>
      <c r="Y534" s="37"/>
      <c r="Z534" s="20"/>
      <c r="AA534" s="19"/>
    </row>
    <row r="535" spans="1:27" s="13" customFormat="1" ht="93.75" customHeight="1" x14ac:dyDescent="0.25">
      <c r="A535" s="17" t="str">
        <f>IF(OR(D535=0,D535=""),"",COUNTA($D$535:D535))</f>
        <v/>
      </c>
      <c r="B535" s="17"/>
      <c r="C535" s="89" t="s">
        <v>1187</v>
      </c>
      <c r="D535" s="21"/>
      <c r="E535" s="26"/>
      <c r="F535" s="26"/>
      <c r="G535" s="26"/>
      <c r="H535" s="17"/>
      <c r="I535" s="15"/>
      <c r="J535" s="26"/>
      <c r="K535" s="26"/>
      <c r="L535" s="26"/>
      <c r="M535" s="29"/>
      <c r="N535" s="26"/>
      <c r="O535" s="26"/>
      <c r="P535" s="26"/>
      <c r="Q535" s="26"/>
      <c r="R535" s="26"/>
      <c r="S535" s="26"/>
      <c r="T535" s="26"/>
      <c r="U535" s="17"/>
      <c r="V535" s="28"/>
      <c r="W535" s="28"/>
      <c r="X535" s="28"/>
      <c r="Y535" s="28"/>
      <c r="Z535" s="81"/>
      <c r="AA535" s="28"/>
    </row>
    <row r="536" spans="1:27" s="13" customFormat="1" ht="93.75" customHeight="1" x14ac:dyDescent="0.25">
      <c r="A536" s="17">
        <f>IF(OR(D536=0,D536=""),"",COUNTA($D$535:D536))</f>
        <v>1</v>
      </c>
      <c r="B536" s="17" t="s">
        <v>616</v>
      </c>
      <c r="C536" s="90" t="s">
        <v>512</v>
      </c>
      <c r="D536" s="43">
        <v>1970</v>
      </c>
      <c r="E536" s="16">
        <v>795.7</v>
      </c>
      <c r="F536" s="16">
        <v>734.5</v>
      </c>
      <c r="G536" s="16">
        <v>61.2</v>
      </c>
      <c r="H536" s="17" t="s">
        <v>250</v>
      </c>
      <c r="I536" s="15"/>
      <c r="J536" s="16"/>
      <c r="K536" s="16"/>
      <c r="L536" s="16"/>
      <c r="M536" s="18"/>
      <c r="N536" s="16"/>
      <c r="O536" s="16"/>
      <c r="P536" s="16">
        <f>E536*3961</f>
        <v>3151767.7</v>
      </c>
      <c r="Q536" s="16"/>
      <c r="R536" s="16"/>
      <c r="S536" s="16"/>
      <c r="T536" s="16"/>
      <c r="U536" s="15"/>
      <c r="V536" s="19">
        <f t="shared" ref="V536" si="141">J536+K536+L536+M536+N536+O536+P536+Q536+R536+S536+T536+U536</f>
        <v>3151767.7</v>
      </c>
      <c r="W536" s="20" t="s">
        <v>1175</v>
      </c>
      <c r="X536" s="37">
        <v>0</v>
      </c>
      <c r="Y536" s="37">
        <v>0</v>
      </c>
      <c r="Z536" s="79">
        <v>0</v>
      </c>
      <c r="AA536" s="19">
        <f>V536-(X536+Y536+Z536)</f>
        <v>3151767.7</v>
      </c>
    </row>
    <row r="537" spans="1:27" s="13" customFormat="1" ht="93.75" customHeight="1" x14ac:dyDescent="0.25">
      <c r="A537" s="17" t="str">
        <f>IF(OR(D537=0,D537=""),"",COUNTA($D$535:D537))</f>
        <v/>
      </c>
      <c r="B537" s="17"/>
      <c r="C537" s="89"/>
      <c r="D537" s="21"/>
      <c r="E537" s="26">
        <f>SUM(E536:E536)</f>
        <v>795.7</v>
      </c>
      <c r="F537" s="26">
        <f>SUM(F536:F536)</f>
        <v>734.5</v>
      </c>
      <c r="G537" s="26">
        <f>SUM(G536:G536)</f>
        <v>61.2</v>
      </c>
      <c r="H537" s="17"/>
      <c r="I537" s="15"/>
      <c r="J537" s="26"/>
      <c r="K537" s="26"/>
      <c r="L537" s="26"/>
      <c r="M537" s="29"/>
      <c r="N537" s="26"/>
      <c r="O537" s="26"/>
      <c r="P537" s="26"/>
      <c r="Q537" s="26"/>
      <c r="R537" s="26"/>
      <c r="S537" s="26"/>
      <c r="T537" s="26"/>
      <c r="U537" s="17"/>
      <c r="V537" s="26">
        <f>SUM(V536:V536)</f>
        <v>3151767.7</v>
      </c>
      <c r="W537" s="28"/>
      <c r="X537" s="28"/>
      <c r="Y537" s="28"/>
      <c r="Z537" s="81"/>
      <c r="AA537" s="26">
        <f>SUM(AA536:AA536)</f>
        <v>3151767.7</v>
      </c>
    </row>
    <row r="538" spans="1:27" s="12" customFormat="1" ht="93.75" customHeight="1" x14ac:dyDescent="0.25">
      <c r="A538" s="17" t="str">
        <f>IF(OR(D538=0,D538=""),"",COUNTA($D$535:D538))</f>
        <v/>
      </c>
      <c r="B538" s="17"/>
      <c r="C538" s="89" t="s">
        <v>1199</v>
      </c>
      <c r="D538" s="43"/>
      <c r="E538" s="16"/>
      <c r="F538" s="16"/>
      <c r="G538" s="16"/>
      <c r="H538" s="17"/>
      <c r="I538" s="15"/>
      <c r="J538" s="16"/>
      <c r="K538" s="16"/>
      <c r="L538" s="16"/>
      <c r="M538" s="18"/>
      <c r="N538" s="16"/>
      <c r="O538" s="16"/>
      <c r="P538" s="16"/>
      <c r="Q538" s="16"/>
      <c r="R538" s="16"/>
      <c r="S538" s="16"/>
      <c r="T538" s="16"/>
      <c r="U538" s="15"/>
      <c r="V538" s="19"/>
      <c r="W538" s="20"/>
      <c r="X538" s="37"/>
      <c r="Y538" s="37"/>
      <c r="Z538" s="20"/>
      <c r="AA538" s="19"/>
    </row>
    <row r="539" spans="1:27" s="12" customFormat="1" ht="93.75" customHeight="1" x14ac:dyDescent="0.25">
      <c r="A539" s="17">
        <f>IF(OR(D539=0,D539=""),"",COUNTA($D$535:D539))</f>
        <v>2</v>
      </c>
      <c r="B539" s="17" t="s">
        <v>612</v>
      </c>
      <c r="C539" s="90" t="s">
        <v>593</v>
      </c>
      <c r="D539" s="43">
        <v>1957</v>
      </c>
      <c r="E539" s="16">
        <v>437.12</v>
      </c>
      <c r="F539" s="16">
        <v>242.2</v>
      </c>
      <c r="G539" s="16">
        <v>0</v>
      </c>
      <c r="H539" s="17" t="s">
        <v>250</v>
      </c>
      <c r="I539" s="15"/>
      <c r="J539" s="16"/>
      <c r="K539" s="16"/>
      <c r="L539" s="16"/>
      <c r="M539" s="16"/>
      <c r="N539" s="16"/>
      <c r="O539" s="16"/>
      <c r="P539" s="16">
        <f>E539*3961</f>
        <v>1731432.32</v>
      </c>
      <c r="Q539" s="16"/>
      <c r="R539" s="16"/>
      <c r="S539" s="16"/>
      <c r="T539" s="16"/>
      <c r="U539" s="16"/>
      <c r="V539" s="19">
        <f t="shared" ref="V539:V541" si="142">J539+K539+L539+M539+N539+O539+P539+Q539+R539+S539+T539+U539</f>
        <v>1731432.32</v>
      </c>
      <c r="W539" s="20" t="s">
        <v>1175</v>
      </c>
      <c r="X539" s="37">
        <v>0</v>
      </c>
      <c r="Y539" s="37">
        <v>0</v>
      </c>
      <c r="Z539" s="79">
        <v>0</v>
      </c>
      <c r="AA539" s="19">
        <f t="shared" ref="AA539:AA540" si="143">V539-(X539+Y539+Z539)</f>
        <v>1731432.32</v>
      </c>
    </row>
    <row r="540" spans="1:27" s="12" customFormat="1" ht="93.75" customHeight="1" x14ac:dyDescent="0.25">
      <c r="A540" s="17">
        <f>IF(OR(D540=0,D540=""),"",COUNTA($D$535:D540))</f>
        <v>3</v>
      </c>
      <c r="B540" s="17" t="s">
        <v>613</v>
      </c>
      <c r="C540" s="90" t="s">
        <v>594</v>
      </c>
      <c r="D540" s="43">
        <v>2011</v>
      </c>
      <c r="E540" s="16">
        <v>2771.8</v>
      </c>
      <c r="F540" s="16">
        <v>1788.1</v>
      </c>
      <c r="G540" s="16">
        <v>0</v>
      </c>
      <c r="H540" s="17" t="s">
        <v>250</v>
      </c>
      <c r="I540" s="15"/>
      <c r="J540" s="16"/>
      <c r="K540" s="16"/>
      <c r="L540" s="16"/>
      <c r="M540" s="16"/>
      <c r="N540" s="16"/>
      <c r="O540" s="16"/>
      <c r="P540" s="16">
        <f>E540*3961</f>
        <v>10979099.800000001</v>
      </c>
      <c r="Q540" s="16"/>
      <c r="R540" s="16"/>
      <c r="S540" s="16"/>
      <c r="T540" s="16"/>
      <c r="U540" s="16"/>
      <c r="V540" s="19">
        <f t="shared" si="142"/>
        <v>10979099.800000001</v>
      </c>
      <c r="W540" s="20" t="s">
        <v>1175</v>
      </c>
      <c r="X540" s="37">
        <v>0</v>
      </c>
      <c r="Y540" s="37">
        <v>0</v>
      </c>
      <c r="Z540" s="79">
        <v>0</v>
      </c>
      <c r="AA540" s="19">
        <f t="shared" si="143"/>
        <v>10979099.800000001</v>
      </c>
    </row>
    <row r="541" spans="1:27" s="12" customFormat="1" ht="93.75" customHeight="1" x14ac:dyDescent="0.25">
      <c r="A541" s="17">
        <f>IF(OR(D541=0,D541=""),"",COUNTA($D$535:D541))</f>
        <v>4</v>
      </c>
      <c r="B541" s="17" t="s">
        <v>611</v>
      </c>
      <c r="C541" s="90" t="s">
        <v>527</v>
      </c>
      <c r="D541" s="43">
        <v>1961</v>
      </c>
      <c r="E541" s="16">
        <v>540.79999999999995</v>
      </c>
      <c r="F541" s="16">
        <v>394.4</v>
      </c>
      <c r="G541" s="16">
        <v>0</v>
      </c>
      <c r="H541" s="17" t="s">
        <v>250</v>
      </c>
      <c r="I541" s="15"/>
      <c r="J541" s="16"/>
      <c r="K541" s="16"/>
      <c r="L541" s="16"/>
      <c r="M541" s="16"/>
      <c r="N541" s="16"/>
      <c r="O541" s="16"/>
      <c r="P541" s="16">
        <f>E541*3961</f>
        <v>2142108.7999999998</v>
      </c>
      <c r="Q541" s="16"/>
      <c r="R541" s="16"/>
      <c r="S541" s="16"/>
      <c r="T541" s="16"/>
      <c r="U541" s="16"/>
      <c r="V541" s="19">
        <f t="shared" si="142"/>
        <v>2142108.7999999998</v>
      </c>
      <c r="W541" s="20" t="s">
        <v>1175</v>
      </c>
      <c r="X541" s="37">
        <v>0</v>
      </c>
      <c r="Y541" s="37">
        <v>0</v>
      </c>
      <c r="Z541" s="79">
        <v>0</v>
      </c>
      <c r="AA541" s="19">
        <f t="shared" ref="AA541" si="144">V541-(X541+Y541+Z541)</f>
        <v>2142108.7999999998</v>
      </c>
    </row>
    <row r="542" spans="1:27" s="13" customFormat="1" ht="93.75" customHeight="1" x14ac:dyDescent="0.25">
      <c r="A542" s="17" t="str">
        <f>IF(OR(D542=0,D542=""),"",COUNTA($D$535:D542))</f>
        <v/>
      </c>
      <c r="B542" s="17"/>
      <c r="C542" s="89"/>
      <c r="D542" s="21"/>
      <c r="E542" s="26">
        <f>SUM(E539:E541)</f>
        <v>3749.7200000000003</v>
      </c>
      <c r="F542" s="26">
        <f>SUM(F539:F541)</f>
        <v>2424.6999999999998</v>
      </c>
      <c r="G542" s="26">
        <f>SUM(G539:G541)</f>
        <v>0</v>
      </c>
      <c r="H542" s="17"/>
      <c r="I542" s="15"/>
      <c r="J542" s="26"/>
      <c r="K542" s="26"/>
      <c r="L542" s="26"/>
      <c r="M542" s="29"/>
      <c r="N542" s="26"/>
      <c r="O542" s="26"/>
      <c r="P542" s="26"/>
      <c r="Q542" s="26"/>
      <c r="R542" s="26"/>
      <c r="S542" s="26"/>
      <c r="T542" s="26"/>
      <c r="U542" s="17"/>
      <c r="V542" s="28">
        <f>SUM(V539:V541)</f>
        <v>14852640.920000002</v>
      </c>
      <c r="W542" s="28"/>
      <c r="X542" s="28">
        <f>SUM(X539:X541)</f>
        <v>0</v>
      </c>
      <c r="Y542" s="28">
        <f>SUM(Y539:Y541)</f>
        <v>0</v>
      </c>
      <c r="Z542" s="81">
        <f>SUM(Z539:Z541)</f>
        <v>0</v>
      </c>
      <c r="AA542" s="28">
        <f>V542-(X542+Y542+Z542)</f>
        <v>14852640.920000002</v>
      </c>
    </row>
    <row r="543" spans="1:27" s="12" customFormat="1" ht="93.75" customHeight="1" x14ac:dyDescent="0.25">
      <c r="A543" s="17" t="str">
        <f>IF(OR(D543=0,D543=""),"",COUNTA($D$535:D543))</f>
        <v/>
      </c>
      <c r="B543" s="17"/>
      <c r="C543" s="89" t="s">
        <v>1200</v>
      </c>
      <c r="D543" s="43"/>
      <c r="E543" s="16"/>
      <c r="F543" s="16"/>
      <c r="G543" s="16"/>
      <c r="H543" s="17"/>
      <c r="I543" s="15"/>
      <c r="J543" s="16"/>
      <c r="K543" s="16"/>
      <c r="L543" s="16"/>
      <c r="M543" s="18"/>
      <c r="N543" s="16"/>
      <c r="O543" s="16"/>
      <c r="P543" s="16"/>
      <c r="Q543" s="16"/>
      <c r="R543" s="16"/>
      <c r="S543" s="16"/>
      <c r="T543" s="16"/>
      <c r="U543" s="15"/>
      <c r="V543" s="19"/>
      <c r="W543" s="20"/>
      <c r="X543" s="37"/>
      <c r="Y543" s="37"/>
      <c r="Z543" s="20"/>
      <c r="AA543" s="19"/>
    </row>
    <row r="544" spans="1:27" s="12" customFormat="1" ht="93.75" customHeight="1" x14ac:dyDescent="0.25">
      <c r="A544" s="17">
        <f>IF(OR(D544=0,D544=""),"",COUNTA($D$535:D544))</f>
        <v>5</v>
      </c>
      <c r="B544" s="17" t="s">
        <v>620</v>
      </c>
      <c r="C544" s="90" t="s">
        <v>513</v>
      </c>
      <c r="D544" s="43">
        <v>1980</v>
      </c>
      <c r="E544" s="16">
        <v>2788.7</v>
      </c>
      <c r="F544" s="16">
        <v>2019.5</v>
      </c>
      <c r="G544" s="16">
        <v>0</v>
      </c>
      <c r="H544" s="17" t="s">
        <v>257</v>
      </c>
      <c r="I544" s="15"/>
      <c r="J544" s="16"/>
      <c r="K544" s="16"/>
      <c r="L544" s="16"/>
      <c r="M544" s="18"/>
      <c r="N544" s="16"/>
      <c r="O544" s="16"/>
      <c r="P544" s="16">
        <f>2308*E544</f>
        <v>6436319.5999999996</v>
      </c>
      <c r="Q544" s="16"/>
      <c r="R544" s="16"/>
      <c r="S544" s="16"/>
      <c r="T544" s="16"/>
      <c r="U544" s="16"/>
      <c r="V544" s="19">
        <f t="shared" ref="V544:V545" si="145">J544+K544+L544+M544+N544+O544+P544+Q544+R544+S544+T544+U544</f>
        <v>6436319.5999999996</v>
      </c>
      <c r="W544" s="20" t="s">
        <v>1175</v>
      </c>
      <c r="X544" s="37">
        <v>0</v>
      </c>
      <c r="Y544" s="37">
        <v>0</v>
      </c>
      <c r="Z544" s="79">
        <v>0</v>
      </c>
      <c r="AA544" s="19">
        <f t="shared" ref="AA544:AA545" si="146">V544-(X544+Y544+Z544)</f>
        <v>6436319.5999999996</v>
      </c>
    </row>
    <row r="545" spans="1:27" s="12" customFormat="1" ht="93.75" customHeight="1" x14ac:dyDescent="0.25">
      <c r="A545" s="17">
        <f>IF(OR(D545=0,D545=""),"",COUNTA($D$535:D545))</f>
        <v>6</v>
      </c>
      <c r="B545" s="17" t="s">
        <v>618</v>
      </c>
      <c r="C545" s="90" t="s">
        <v>582</v>
      </c>
      <c r="D545" s="43">
        <v>1977</v>
      </c>
      <c r="E545" s="16">
        <v>753</v>
      </c>
      <c r="F545" s="16">
        <v>645.4</v>
      </c>
      <c r="G545" s="16">
        <v>0</v>
      </c>
      <c r="H545" s="17" t="s">
        <v>254</v>
      </c>
      <c r="I545" s="15"/>
      <c r="J545" s="16"/>
      <c r="K545" s="16"/>
      <c r="L545" s="16"/>
      <c r="M545" s="18"/>
      <c r="N545" s="16"/>
      <c r="O545" s="16"/>
      <c r="P545" s="16">
        <f>E545*3961</f>
        <v>2982633</v>
      </c>
      <c r="Q545" s="16"/>
      <c r="R545" s="16"/>
      <c r="S545" s="16"/>
      <c r="T545" s="16"/>
      <c r="U545" s="16"/>
      <c r="V545" s="19">
        <f t="shared" si="145"/>
        <v>2982633</v>
      </c>
      <c r="W545" s="20" t="s">
        <v>1175</v>
      </c>
      <c r="X545" s="37">
        <v>0</v>
      </c>
      <c r="Y545" s="37">
        <v>0</v>
      </c>
      <c r="Z545" s="79">
        <v>0</v>
      </c>
      <c r="AA545" s="19">
        <f t="shared" si="146"/>
        <v>2982633</v>
      </c>
    </row>
    <row r="546" spans="1:27" s="13" customFormat="1" ht="93.75" customHeight="1" x14ac:dyDescent="0.25">
      <c r="A546" s="17" t="str">
        <f>IF(OR(D546=0,D546=""),"",COUNTA($D$535:D546))</f>
        <v/>
      </c>
      <c r="B546" s="17"/>
      <c r="C546" s="89"/>
      <c r="D546" s="21"/>
      <c r="E546" s="26">
        <f>SUM(E544:E545)</f>
        <v>3541.7</v>
      </c>
      <c r="F546" s="26">
        <f>SUM(F544:F545)</f>
        <v>2664.9</v>
      </c>
      <c r="G546" s="26">
        <f>SUM(G544:G545)</f>
        <v>0</v>
      </c>
      <c r="H546" s="17"/>
      <c r="I546" s="15"/>
      <c r="J546" s="26"/>
      <c r="K546" s="26"/>
      <c r="L546" s="26"/>
      <c r="M546" s="29"/>
      <c r="N546" s="26"/>
      <c r="O546" s="26"/>
      <c r="P546" s="26"/>
      <c r="Q546" s="26"/>
      <c r="R546" s="26"/>
      <c r="S546" s="26"/>
      <c r="T546" s="26"/>
      <c r="U546" s="17"/>
      <c r="V546" s="28">
        <f>SUM(V544:V545)</f>
        <v>9418952.5999999996</v>
      </c>
      <c r="W546" s="28"/>
      <c r="X546" s="28">
        <f>SUM(X544:X545)</f>
        <v>0</v>
      </c>
      <c r="Y546" s="28">
        <f>SUM(Y544:Y545)</f>
        <v>0</v>
      </c>
      <c r="Z546" s="81">
        <f>SUM(Z544:Z545)</f>
        <v>0</v>
      </c>
      <c r="AA546" s="28">
        <f>V546-(X546+Y546+Z546)</f>
        <v>9418952.5999999996</v>
      </c>
    </row>
    <row r="547" spans="1:27" s="12" customFormat="1" ht="93.75" customHeight="1" x14ac:dyDescent="0.25">
      <c r="A547" s="17" t="str">
        <f>IF(OR(D547=0,D547=""),"",COUNTA($D$535:D547))</f>
        <v/>
      </c>
      <c r="B547" s="17"/>
      <c r="C547" s="89" t="s">
        <v>1218</v>
      </c>
      <c r="D547" s="43"/>
      <c r="E547" s="16"/>
      <c r="F547" s="16"/>
      <c r="G547" s="16"/>
      <c r="H547" s="17"/>
      <c r="I547" s="15"/>
      <c r="J547" s="16"/>
      <c r="K547" s="16"/>
      <c r="L547" s="16"/>
      <c r="M547" s="18"/>
      <c r="N547" s="16"/>
      <c r="O547" s="16"/>
      <c r="P547" s="16"/>
      <c r="Q547" s="16"/>
      <c r="R547" s="16"/>
      <c r="S547" s="16"/>
      <c r="T547" s="16"/>
      <c r="U547" s="15"/>
      <c r="V547" s="19"/>
      <c r="W547" s="20"/>
      <c r="X547" s="37"/>
      <c r="Y547" s="37"/>
      <c r="Z547" s="20"/>
      <c r="AA547" s="19"/>
    </row>
    <row r="548" spans="1:27" s="12" customFormat="1" ht="93.75" customHeight="1" x14ac:dyDescent="0.25">
      <c r="A548" s="17">
        <f>IF(OR(D548=0,D548=""),"",COUNTA($D$535:D548))</f>
        <v>7</v>
      </c>
      <c r="B548" s="17" t="s">
        <v>624</v>
      </c>
      <c r="C548" s="90" t="s">
        <v>289</v>
      </c>
      <c r="D548" s="52">
        <v>1962</v>
      </c>
      <c r="E548" s="46">
        <v>4197.8</v>
      </c>
      <c r="F548" s="46">
        <v>2522.8000000000002</v>
      </c>
      <c r="G548" s="16">
        <v>0</v>
      </c>
      <c r="H548" s="17" t="s">
        <v>257</v>
      </c>
      <c r="I548" s="15"/>
      <c r="J548" s="16"/>
      <c r="K548" s="16"/>
      <c r="L548" s="16"/>
      <c r="M548" s="18"/>
      <c r="N548" s="16"/>
      <c r="O548" s="16"/>
      <c r="P548" s="16">
        <f>2308*E548</f>
        <v>9688522.4000000004</v>
      </c>
      <c r="Q548" s="16"/>
      <c r="R548" s="16"/>
      <c r="S548" s="16"/>
      <c r="T548" s="16"/>
      <c r="U548" s="16"/>
      <c r="V548" s="19">
        <f t="shared" ref="V548" si="147">J548+K548+L548+M548+N548+O548+P548+Q548+R548+S548+T548+U548</f>
        <v>9688522.4000000004</v>
      </c>
      <c r="W548" s="20" t="s">
        <v>1175</v>
      </c>
      <c r="X548" s="37">
        <v>0</v>
      </c>
      <c r="Y548" s="37">
        <v>0</v>
      </c>
      <c r="Z548" s="79">
        <v>0</v>
      </c>
      <c r="AA548" s="19">
        <f t="shared" ref="AA548" si="148">V548-(X548+Y548+Z548)</f>
        <v>9688522.4000000004</v>
      </c>
    </row>
    <row r="549" spans="1:27" s="12" customFormat="1" ht="93.75" customHeight="1" x14ac:dyDescent="0.25">
      <c r="A549" s="17">
        <f>IF(OR(D549=0,D549=""),"",COUNTA($D$535:D549))</f>
        <v>8</v>
      </c>
      <c r="B549" s="17" t="s">
        <v>636</v>
      </c>
      <c r="C549" s="90" t="s">
        <v>391</v>
      </c>
      <c r="D549" s="43">
        <v>1970</v>
      </c>
      <c r="E549" s="16">
        <v>5891.3</v>
      </c>
      <c r="F549" s="16">
        <v>3025.5</v>
      </c>
      <c r="G549" s="16">
        <v>0</v>
      </c>
      <c r="H549" s="17" t="s">
        <v>257</v>
      </c>
      <c r="I549" s="15"/>
      <c r="J549" s="16"/>
      <c r="K549" s="16"/>
      <c r="L549" s="16"/>
      <c r="M549" s="18"/>
      <c r="N549" s="16"/>
      <c r="O549" s="16"/>
      <c r="P549" s="16">
        <f>2308*E549</f>
        <v>13597120.4</v>
      </c>
      <c r="Q549" s="16"/>
      <c r="R549" s="16">
        <f>E549*2763</f>
        <v>16277661.9</v>
      </c>
      <c r="S549" s="16"/>
      <c r="T549" s="16"/>
      <c r="U549" s="16"/>
      <c r="V549" s="19">
        <f t="shared" ref="V549:V551" si="149">J549+K549+L549+M549+N549+O549+P549+Q549+R549+S549+T549+U549</f>
        <v>29874782.300000001</v>
      </c>
      <c r="W549" s="20" t="s">
        <v>1175</v>
      </c>
      <c r="X549" s="37">
        <v>0</v>
      </c>
      <c r="Y549" s="37">
        <v>0</v>
      </c>
      <c r="Z549" s="79">
        <v>0</v>
      </c>
      <c r="AA549" s="19">
        <f t="shared" ref="AA549:AA551" si="150">V549-(X549+Y549+Z549)</f>
        <v>29874782.300000001</v>
      </c>
    </row>
    <row r="550" spans="1:27" s="12" customFormat="1" ht="93.75" customHeight="1" x14ac:dyDescent="0.25">
      <c r="A550" s="17">
        <f>IF(OR(D550=0,D550=""),"",COUNTA($D$535:D550))</f>
        <v>9</v>
      </c>
      <c r="B550" s="17" t="s">
        <v>652</v>
      </c>
      <c r="C550" s="90" t="s">
        <v>361</v>
      </c>
      <c r="D550" s="43">
        <v>1970</v>
      </c>
      <c r="E550" s="16">
        <v>7755.7</v>
      </c>
      <c r="F550" s="16">
        <v>3948</v>
      </c>
      <c r="G550" s="16">
        <v>0</v>
      </c>
      <c r="H550" s="17" t="s">
        <v>257</v>
      </c>
      <c r="I550" s="15"/>
      <c r="J550" s="16"/>
      <c r="K550" s="16"/>
      <c r="L550" s="16"/>
      <c r="M550" s="18"/>
      <c r="N550" s="16"/>
      <c r="O550" s="16"/>
      <c r="P550" s="16">
        <f>2308*E550</f>
        <v>17900155.599999998</v>
      </c>
      <c r="Q550" s="16"/>
      <c r="R550" s="16">
        <f>E550*2763</f>
        <v>21428999.099999998</v>
      </c>
      <c r="S550" s="16"/>
      <c r="T550" s="16"/>
      <c r="U550" s="16"/>
      <c r="V550" s="19">
        <f t="shared" si="149"/>
        <v>39329154.699999996</v>
      </c>
      <c r="W550" s="20" t="s">
        <v>1175</v>
      </c>
      <c r="X550" s="37">
        <v>0</v>
      </c>
      <c r="Y550" s="37">
        <v>0</v>
      </c>
      <c r="Z550" s="79">
        <v>0</v>
      </c>
      <c r="AA550" s="19">
        <f t="shared" si="150"/>
        <v>39329154.699999996</v>
      </c>
    </row>
    <row r="551" spans="1:27" s="12" customFormat="1" ht="93.75" customHeight="1" x14ac:dyDescent="0.25">
      <c r="A551" s="17">
        <f>IF(OR(D551=0,D551=""),"",COUNTA($D$535:D551))</f>
        <v>10</v>
      </c>
      <c r="B551" s="17" t="s">
        <v>646</v>
      </c>
      <c r="C551" s="90" t="s">
        <v>362</v>
      </c>
      <c r="D551" s="43">
        <v>1969</v>
      </c>
      <c r="E551" s="16">
        <v>9643.5</v>
      </c>
      <c r="F551" s="16">
        <v>3951.5</v>
      </c>
      <c r="G551" s="16">
        <v>13.4</v>
      </c>
      <c r="H551" s="17" t="s">
        <v>257</v>
      </c>
      <c r="I551" s="15"/>
      <c r="J551" s="16"/>
      <c r="K551" s="16"/>
      <c r="L551" s="16"/>
      <c r="M551" s="18"/>
      <c r="N551" s="16"/>
      <c r="O551" s="16"/>
      <c r="P551" s="16"/>
      <c r="Q551" s="16"/>
      <c r="R551" s="16">
        <f>E551*2763</f>
        <v>26644990.5</v>
      </c>
      <c r="S551" s="16"/>
      <c r="T551" s="16"/>
      <c r="U551" s="16"/>
      <c r="V551" s="19">
        <f t="shared" si="149"/>
        <v>26644990.5</v>
      </c>
      <c r="W551" s="20" t="s">
        <v>1175</v>
      </c>
      <c r="X551" s="37">
        <v>0</v>
      </c>
      <c r="Y551" s="37">
        <v>0</v>
      </c>
      <c r="Z551" s="79">
        <v>0</v>
      </c>
      <c r="AA551" s="19">
        <f t="shared" si="150"/>
        <v>26644990.5</v>
      </c>
    </row>
    <row r="552" spans="1:27" s="13" customFormat="1" ht="93.75" customHeight="1" x14ac:dyDescent="0.25">
      <c r="A552" s="17" t="str">
        <f>IF(OR(D552=0,D552=""),"",COUNTA($D$535:D552))</f>
        <v/>
      </c>
      <c r="B552" s="17"/>
      <c r="C552" s="89"/>
      <c r="D552" s="21"/>
      <c r="E552" s="26">
        <f>SUM(E548:E551)</f>
        <v>27488.3</v>
      </c>
      <c r="F552" s="26">
        <f>SUM(F548:F551)</f>
        <v>13447.8</v>
      </c>
      <c r="G552" s="26">
        <f>SUM(G548:G551)</f>
        <v>13.4</v>
      </c>
      <c r="H552" s="17"/>
      <c r="I552" s="15"/>
      <c r="J552" s="26"/>
      <c r="K552" s="26"/>
      <c r="L552" s="26"/>
      <c r="M552" s="29"/>
      <c r="N552" s="26"/>
      <c r="O552" s="26"/>
      <c r="P552" s="26"/>
      <c r="Q552" s="26"/>
      <c r="R552" s="26"/>
      <c r="S552" s="26"/>
      <c r="T552" s="26"/>
      <c r="U552" s="17"/>
      <c r="V552" s="28">
        <f>SUM(V548:V551)</f>
        <v>105537449.90000001</v>
      </c>
      <c r="W552" s="28"/>
      <c r="X552" s="28">
        <f>SUM(X548:X551)</f>
        <v>0</v>
      </c>
      <c r="Y552" s="28">
        <f>SUM(Y548:Y551)</f>
        <v>0</v>
      </c>
      <c r="Z552" s="81">
        <f>SUM(Z548:Z551)</f>
        <v>0</v>
      </c>
      <c r="AA552" s="28">
        <f t="shared" ref="AA552" si="151">V552-(X552+Y552+Z552)</f>
        <v>105537449.90000001</v>
      </c>
    </row>
    <row r="553" spans="1:27" s="12" customFormat="1" ht="93.75" customHeight="1" x14ac:dyDescent="0.25">
      <c r="A553" s="17" t="str">
        <f>IF(OR(D553=0,D553=""),"",COUNTA($D$535:D553))</f>
        <v/>
      </c>
      <c r="B553" s="17"/>
      <c r="C553" s="89" t="s">
        <v>1201</v>
      </c>
      <c r="D553" s="43"/>
      <c r="E553" s="16"/>
      <c r="F553" s="16"/>
      <c r="G553" s="16"/>
      <c r="H553" s="17"/>
      <c r="I553" s="15"/>
      <c r="J553" s="16"/>
      <c r="K553" s="16"/>
      <c r="L553" s="16"/>
      <c r="M553" s="18"/>
      <c r="N553" s="16"/>
      <c r="O553" s="16"/>
      <c r="P553" s="16"/>
      <c r="Q553" s="16"/>
      <c r="R553" s="16"/>
      <c r="S553" s="16"/>
      <c r="T553" s="16"/>
      <c r="U553" s="15"/>
      <c r="V553" s="19"/>
      <c r="W553" s="20"/>
      <c r="X553" s="37"/>
      <c r="Y553" s="37"/>
      <c r="Z553" s="20"/>
      <c r="AA553" s="19"/>
    </row>
    <row r="554" spans="1:27" s="12" customFormat="1" ht="93.75" customHeight="1" x14ac:dyDescent="0.25">
      <c r="A554" s="17">
        <f>IF(OR(D554=0,D554=""),"",COUNTA($D$535:D554))</f>
        <v>11</v>
      </c>
      <c r="B554" s="17" t="s">
        <v>675</v>
      </c>
      <c r="C554" s="90" t="s">
        <v>28</v>
      </c>
      <c r="D554" s="43">
        <v>1974</v>
      </c>
      <c r="E554" s="16">
        <v>1353.4</v>
      </c>
      <c r="F554" s="16">
        <v>766.8</v>
      </c>
      <c r="G554" s="16">
        <v>586.6</v>
      </c>
      <c r="H554" s="17" t="s">
        <v>250</v>
      </c>
      <c r="I554" s="15"/>
      <c r="J554" s="16"/>
      <c r="K554" s="16"/>
      <c r="L554" s="16"/>
      <c r="M554" s="18"/>
      <c r="N554" s="16"/>
      <c r="O554" s="16"/>
      <c r="P554" s="16">
        <f>E554*3961</f>
        <v>5360817.4000000004</v>
      </c>
      <c r="Q554" s="16"/>
      <c r="R554" s="16">
        <f>E554*3011</f>
        <v>4075087.4000000004</v>
      </c>
      <c r="S554" s="16"/>
      <c r="T554" s="16"/>
      <c r="U554" s="16"/>
      <c r="V554" s="19">
        <f t="shared" ref="V554:V567" si="152">J554+K554+L554+M554+N554+O554+P554+Q554+R554+S554+T554+U554</f>
        <v>9435904.8000000007</v>
      </c>
      <c r="W554" s="20" t="s">
        <v>1175</v>
      </c>
      <c r="X554" s="37">
        <v>0</v>
      </c>
      <c r="Y554" s="37">
        <v>0</v>
      </c>
      <c r="Z554" s="79">
        <v>0</v>
      </c>
      <c r="AA554" s="19">
        <f t="shared" ref="AA554:AA567" si="153">V554-(X554+Y554+Z554)</f>
        <v>9435904.8000000007</v>
      </c>
    </row>
    <row r="555" spans="1:27" s="12" customFormat="1" ht="93.75" customHeight="1" x14ac:dyDescent="0.25">
      <c r="A555" s="17">
        <f>IF(OR(D555=0,D555=""),"",COUNTA($D$535:D555))</f>
        <v>12</v>
      </c>
      <c r="B555" s="17" t="s">
        <v>676</v>
      </c>
      <c r="C555" s="90" t="s">
        <v>29</v>
      </c>
      <c r="D555" s="43">
        <v>1977</v>
      </c>
      <c r="E555" s="16">
        <v>5373.3</v>
      </c>
      <c r="F555" s="16">
        <v>3920.5</v>
      </c>
      <c r="G555" s="16">
        <v>1452.8</v>
      </c>
      <c r="H555" s="17" t="s">
        <v>257</v>
      </c>
      <c r="I555" s="15"/>
      <c r="J555" s="16"/>
      <c r="K555" s="16"/>
      <c r="L555" s="16"/>
      <c r="M555" s="18"/>
      <c r="N555" s="16"/>
      <c r="O555" s="16"/>
      <c r="P555" s="16"/>
      <c r="Q555" s="16"/>
      <c r="R555" s="16">
        <f>E555*2763</f>
        <v>14846427.9</v>
      </c>
      <c r="S555" s="16"/>
      <c r="T555" s="16"/>
      <c r="U555" s="16"/>
      <c r="V555" s="19">
        <f t="shared" ref="V555" si="154">J555+K555+L555+M555+N555+O555+P555+Q555+R555+S555+T555+U555</f>
        <v>14846427.9</v>
      </c>
      <c r="W555" s="20" t="s">
        <v>1175</v>
      </c>
      <c r="X555" s="37">
        <v>0</v>
      </c>
      <c r="Y555" s="37">
        <v>0</v>
      </c>
      <c r="Z555" s="79">
        <v>0</v>
      </c>
      <c r="AA555" s="19">
        <f t="shared" ref="AA555" si="155">V555-(X555+Y555+Z555)</f>
        <v>14846427.9</v>
      </c>
    </row>
    <row r="556" spans="1:27" s="12" customFormat="1" ht="93.75" customHeight="1" x14ac:dyDescent="0.25">
      <c r="A556" s="17">
        <f>IF(OR(D556=0,D556=""),"",COUNTA($D$535:D556))</f>
        <v>13</v>
      </c>
      <c r="B556" s="17" t="s">
        <v>677</v>
      </c>
      <c r="C556" s="90" t="s">
        <v>536</v>
      </c>
      <c r="D556" s="43">
        <v>1986</v>
      </c>
      <c r="E556" s="16">
        <v>1575.2</v>
      </c>
      <c r="F556" s="16">
        <v>957.6</v>
      </c>
      <c r="G556" s="16">
        <v>617.6</v>
      </c>
      <c r="H556" s="17" t="s">
        <v>250</v>
      </c>
      <c r="I556" s="15"/>
      <c r="J556" s="16"/>
      <c r="K556" s="16"/>
      <c r="L556" s="16"/>
      <c r="M556" s="18"/>
      <c r="N556" s="16"/>
      <c r="O556" s="16"/>
      <c r="P556" s="16">
        <f t="shared" ref="P556:P567" si="156">E556*3961</f>
        <v>6239367.2000000002</v>
      </c>
      <c r="Q556" s="16"/>
      <c r="R556" s="16"/>
      <c r="S556" s="16"/>
      <c r="T556" s="16"/>
      <c r="U556" s="16"/>
      <c r="V556" s="19">
        <f t="shared" si="152"/>
        <v>6239367.2000000002</v>
      </c>
      <c r="W556" s="20" t="s">
        <v>1175</v>
      </c>
      <c r="X556" s="37">
        <v>0</v>
      </c>
      <c r="Y556" s="37">
        <v>0</v>
      </c>
      <c r="Z556" s="79">
        <v>0</v>
      </c>
      <c r="AA556" s="19">
        <f t="shared" si="153"/>
        <v>6239367.2000000002</v>
      </c>
    </row>
    <row r="557" spans="1:27" s="12" customFormat="1" ht="93.75" customHeight="1" x14ac:dyDescent="0.25">
      <c r="A557" s="17">
        <f>IF(OR(D557=0,D557=""),"",COUNTA($D$535:D557))</f>
        <v>14</v>
      </c>
      <c r="B557" s="17" t="s">
        <v>678</v>
      </c>
      <c r="C557" s="90" t="s">
        <v>537</v>
      </c>
      <c r="D557" s="43">
        <v>1986</v>
      </c>
      <c r="E557" s="16">
        <v>510</v>
      </c>
      <c r="F557" s="16">
        <v>317.39999999999998</v>
      </c>
      <c r="G557" s="16">
        <v>192.6</v>
      </c>
      <c r="H557" s="17" t="s">
        <v>250</v>
      </c>
      <c r="I557" s="15"/>
      <c r="J557" s="16"/>
      <c r="K557" s="16"/>
      <c r="L557" s="16"/>
      <c r="M557" s="18"/>
      <c r="N557" s="16"/>
      <c r="O557" s="16"/>
      <c r="P557" s="16">
        <f t="shared" si="156"/>
        <v>2020110</v>
      </c>
      <c r="Q557" s="16"/>
      <c r="R557" s="16"/>
      <c r="S557" s="16"/>
      <c r="T557" s="16"/>
      <c r="U557" s="16"/>
      <c r="V557" s="19">
        <f t="shared" si="152"/>
        <v>2020110</v>
      </c>
      <c r="W557" s="20" t="s">
        <v>1175</v>
      </c>
      <c r="X557" s="37">
        <v>0</v>
      </c>
      <c r="Y557" s="37">
        <v>0</v>
      </c>
      <c r="Z557" s="79">
        <v>0</v>
      </c>
      <c r="AA557" s="19">
        <f t="shared" si="153"/>
        <v>2020110</v>
      </c>
    </row>
    <row r="558" spans="1:27" s="12" customFormat="1" ht="93.75" customHeight="1" x14ac:dyDescent="0.25">
      <c r="A558" s="17">
        <f>IF(OR(D558=0,D558=""),"",COUNTA($D$535:D558))</f>
        <v>15</v>
      </c>
      <c r="B558" s="17" t="s">
        <v>679</v>
      </c>
      <c r="C558" s="90" t="s">
        <v>538</v>
      </c>
      <c r="D558" s="43">
        <v>1986</v>
      </c>
      <c r="E558" s="16">
        <v>511.7</v>
      </c>
      <c r="F558" s="16">
        <v>317.39999999999998</v>
      </c>
      <c r="G558" s="16">
        <v>194.3</v>
      </c>
      <c r="H558" s="17" t="s">
        <v>250</v>
      </c>
      <c r="I558" s="15"/>
      <c r="J558" s="16"/>
      <c r="K558" s="16"/>
      <c r="L558" s="16"/>
      <c r="M558" s="18"/>
      <c r="N558" s="16"/>
      <c r="O558" s="16"/>
      <c r="P558" s="16">
        <f t="shared" si="156"/>
        <v>2026843.7</v>
      </c>
      <c r="Q558" s="16"/>
      <c r="R558" s="16"/>
      <c r="S558" s="16"/>
      <c r="T558" s="16"/>
      <c r="U558" s="16"/>
      <c r="V558" s="19">
        <f t="shared" si="152"/>
        <v>2026843.7</v>
      </c>
      <c r="W558" s="20" t="s">
        <v>1175</v>
      </c>
      <c r="X558" s="37">
        <v>0</v>
      </c>
      <c r="Y558" s="37">
        <v>0</v>
      </c>
      <c r="Z558" s="79">
        <v>0</v>
      </c>
      <c r="AA558" s="19">
        <f t="shared" si="153"/>
        <v>2026843.7</v>
      </c>
    </row>
    <row r="559" spans="1:27" s="12" customFormat="1" ht="93.75" customHeight="1" x14ac:dyDescent="0.25">
      <c r="A559" s="17">
        <f>IF(OR(D559=0,D559=""),"",COUNTA($D$535:D559))</f>
        <v>16</v>
      </c>
      <c r="B559" s="17" t="s">
        <v>680</v>
      </c>
      <c r="C559" s="90" t="s">
        <v>539</v>
      </c>
      <c r="D559" s="43">
        <v>1986</v>
      </c>
      <c r="E559" s="16">
        <v>1147.9000000000001</v>
      </c>
      <c r="F559" s="16">
        <v>642.9</v>
      </c>
      <c r="G559" s="16">
        <v>505</v>
      </c>
      <c r="H559" s="17" t="s">
        <v>250</v>
      </c>
      <c r="I559" s="15"/>
      <c r="J559" s="16"/>
      <c r="K559" s="16"/>
      <c r="L559" s="16"/>
      <c r="M559" s="18"/>
      <c r="N559" s="16"/>
      <c r="O559" s="16"/>
      <c r="P559" s="16">
        <f t="shared" si="156"/>
        <v>4546831.9000000004</v>
      </c>
      <c r="Q559" s="16"/>
      <c r="R559" s="16"/>
      <c r="S559" s="16"/>
      <c r="T559" s="16"/>
      <c r="U559" s="16"/>
      <c r="V559" s="19">
        <f t="shared" si="152"/>
        <v>4546831.9000000004</v>
      </c>
      <c r="W559" s="20" t="s">
        <v>1175</v>
      </c>
      <c r="X559" s="37">
        <v>0</v>
      </c>
      <c r="Y559" s="37">
        <v>0</v>
      </c>
      <c r="Z559" s="79">
        <v>0</v>
      </c>
      <c r="AA559" s="19">
        <f t="shared" si="153"/>
        <v>4546831.9000000004</v>
      </c>
    </row>
    <row r="560" spans="1:27" s="12" customFormat="1" ht="93.75" customHeight="1" x14ac:dyDescent="0.25">
      <c r="A560" s="17">
        <f>IF(OR(D560=0,D560=""),"",COUNTA($D$535:D560))</f>
        <v>17</v>
      </c>
      <c r="B560" s="17" t="s">
        <v>681</v>
      </c>
      <c r="C560" s="90" t="s">
        <v>540</v>
      </c>
      <c r="D560" s="43">
        <v>1987</v>
      </c>
      <c r="E560" s="16">
        <v>991.3</v>
      </c>
      <c r="F560" s="16">
        <v>641.20000000000005</v>
      </c>
      <c r="G560" s="16">
        <v>350.1</v>
      </c>
      <c r="H560" s="17" t="s">
        <v>250</v>
      </c>
      <c r="I560" s="15"/>
      <c r="J560" s="16"/>
      <c r="K560" s="16"/>
      <c r="L560" s="16"/>
      <c r="M560" s="18"/>
      <c r="N560" s="16"/>
      <c r="O560" s="16"/>
      <c r="P560" s="16">
        <f t="shared" si="156"/>
        <v>3926539.3</v>
      </c>
      <c r="Q560" s="16"/>
      <c r="R560" s="16"/>
      <c r="S560" s="16"/>
      <c r="T560" s="16"/>
      <c r="U560" s="16"/>
      <c r="V560" s="19">
        <f t="shared" si="152"/>
        <v>3926539.3</v>
      </c>
      <c r="W560" s="20" t="s">
        <v>1175</v>
      </c>
      <c r="X560" s="37">
        <v>0</v>
      </c>
      <c r="Y560" s="37">
        <v>0</v>
      </c>
      <c r="Z560" s="79">
        <v>0</v>
      </c>
      <c r="AA560" s="19">
        <f t="shared" si="153"/>
        <v>3926539.3</v>
      </c>
    </row>
    <row r="561" spans="1:27" s="12" customFormat="1" ht="93.75" customHeight="1" x14ac:dyDescent="0.25">
      <c r="A561" s="17">
        <f>IF(OR(D561=0,D561=""),"",COUNTA($D$535:D561))</f>
        <v>18</v>
      </c>
      <c r="B561" s="17" t="s">
        <v>684</v>
      </c>
      <c r="C561" s="90" t="s">
        <v>597</v>
      </c>
      <c r="D561" s="43">
        <v>1986</v>
      </c>
      <c r="E561" s="16">
        <v>1183.5999999999999</v>
      </c>
      <c r="F561" s="16">
        <v>739.4</v>
      </c>
      <c r="G561" s="16">
        <v>444.2</v>
      </c>
      <c r="H561" s="17" t="s">
        <v>250</v>
      </c>
      <c r="I561" s="15"/>
      <c r="J561" s="16"/>
      <c r="K561" s="16"/>
      <c r="L561" s="16"/>
      <c r="M561" s="18"/>
      <c r="N561" s="16"/>
      <c r="O561" s="16"/>
      <c r="P561" s="16">
        <f t="shared" si="156"/>
        <v>4688239.5999999996</v>
      </c>
      <c r="Q561" s="16"/>
      <c r="R561" s="16"/>
      <c r="S561" s="16"/>
      <c r="T561" s="16"/>
      <c r="U561" s="16"/>
      <c r="V561" s="19">
        <f t="shared" ref="V561" si="157">J561+K561+L561+M561+N561+O561+P561+Q561+R561+S561+T561+U561</f>
        <v>4688239.5999999996</v>
      </c>
      <c r="W561" s="20" t="s">
        <v>1175</v>
      </c>
      <c r="X561" s="37">
        <v>0</v>
      </c>
      <c r="Y561" s="37">
        <v>0</v>
      </c>
      <c r="Z561" s="79">
        <v>0</v>
      </c>
      <c r="AA561" s="19">
        <f t="shared" ref="AA561" si="158">V561-(X561+Y561+Z561)</f>
        <v>4688239.5999999996</v>
      </c>
    </row>
    <row r="562" spans="1:27" s="12" customFormat="1" ht="93.75" customHeight="1" x14ac:dyDescent="0.25">
      <c r="A562" s="17">
        <f>IF(OR(D562=0,D562=""),"",COUNTA($D$535:D562))</f>
        <v>19</v>
      </c>
      <c r="B562" s="17" t="s">
        <v>682</v>
      </c>
      <c r="C562" s="90" t="s">
        <v>541</v>
      </c>
      <c r="D562" s="43">
        <v>1986</v>
      </c>
      <c r="E562" s="16">
        <v>1186</v>
      </c>
      <c r="F562" s="16">
        <v>743.2</v>
      </c>
      <c r="G562" s="16">
        <v>442.8</v>
      </c>
      <c r="H562" s="17" t="s">
        <v>250</v>
      </c>
      <c r="I562" s="15"/>
      <c r="J562" s="16"/>
      <c r="K562" s="16"/>
      <c r="L562" s="16"/>
      <c r="M562" s="18"/>
      <c r="N562" s="16"/>
      <c r="O562" s="16"/>
      <c r="P562" s="16">
        <f t="shared" si="156"/>
        <v>4697746</v>
      </c>
      <c r="Q562" s="16"/>
      <c r="R562" s="16"/>
      <c r="S562" s="16"/>
      <c r="T562" s="16"/>
      <c r="U562" s="16"/>
      <c r="V562" s="19">
        <f t="shared" si="152"/>
        <v>4697746</v>
      </c>
      <c r="W562" s="20" t="s">
        <v>1175</v>
      </c>
      <c r="X562" s="37">
        <v>0</v>
      </c>
      <c r="Y562" s="37">
        <v>0</v>
      </c>
      <c r="Z562" s="79">
        <v>0</v>
      </c>
      <c r="AA562" s="19">
        <f t="shared" si="153"/>
        <v>4697746</v>
      </c>
    </row>
    <row r="563" spans="1:27" s="12" customFormat="1" ht="93.75" customHeight="1" x14ac:dyDescent="0.25">
      <c r="A563" s="17">
        <f>IF(OR(D563=0,D563=""),"",COUNTA($D$535:D563))</f>
        <v>20</v>
      </c>
      <c r="B563" s="17" t="s">
        <v>683</v>
      </c>
      <c r="C563" s="90" t="s">
        <v>542</v>
      </c>
      <c r="D563" s="43">
        <v>1986</v>
      </c>
      <c r="E563" s="16">
        <v>1184.2</v>
      </c>
      <c r="F563" s="16">
        <v>740</v>
      </c>
      <c r="G563" s="16">
        <v>444.2</v>
      </c>
      <c r="H563" s="17" t="s">
        <v>250</v>
      </c>
      <c r="I563" s="15"/>
      <c r="J563" s="16"/>
      <c r="K563" s="16"/>
      <c r="L563" s="16"/>
      <c r="M563" s="18"/>
      <c r="N563" s="16"/>
      <c r="O563" s="16"/>
      <c r="P563" s="16">
        <f t="shared" si="156"/>
        <v>4690616.2</v>
      </c>
      <c r="Q563" s="16"/>
      <c r="R563" s="16"/>
      <c r="S563" s="16"/>
      <c r="T563" s="16"/>
      <c r="U563" s="16"/>
      <c r="V563" s="19">
        <f t="shared" si="152"/>
        <v>4690616.2</v>
      </c>
      <c r="W563" s="20" t="s">
        <v>1175</v>
      </c>
      <c r="X563" s="37">
        <v>0</v>
      </c>
      <c r="Y563" s="37">
        <v>0</v>
      </c>
      <c r="Z563" s="79">
        <v>0</v>
      </c>
      <c r="AA563" s="19">
        <f t="shared" si="153"/>
        <v>4690616.2</v>
      </c>
    </row>
    <row r="564" spans="1:27" s="12" customFormat="1" ht="93.75" customHeight="1" x14ac:dyDescent="0.25">
      <c r="A564" s="17">
        <f>IF(OR(D564=0,D564=""),"",COUNTA($D$535:D564))</f>
        <v>21</v>
      </c>
      <c r="B564" s="17" t="s">
        <v>685</v>
      </c>
      <c r="C564" s="90" t="s">
        <v>543</v>
      </c>
      <c r="D564" s="43">
        <v>1986</v>
      </c>
      <c r="E564" s="16">
        <v>1184.8</v>
      </c>
      <c r="F564" s="16">
        <v>740.8</v>
      </c>
      <c r="G564" s="16">
        <v>444</v>
      </c>
      <c r="H564" s="17" t="s">
        <v>250</v>
      </c>
      <c r="I564" s="15"/>
      <c r="J564" s="16"/>
      <c r="K564" s="16"/>
      <c r="L564" s="16"/>
      <c r="M564" s="18"/>
      <c r="N564" s="16"/>
      <c r="O564" s="16"/>
      <c r="P564" s="16">
        <f t="shared" si="156"/>
        <v>4692992.8</v>
      </c>
      <c r="Q564" s="16"/>
      <c r="R564" s="16"/>
      <c r="S564" s="16"/>
      <c r="T564" s="16"/>
      <c r="U564" s="16"/>
      <c r="V564" s="19">
        <f t="shared" si="152"/>
        <v>4692992.8</v>
      </c>
      <c r="W564" s="20" t="s">
        <v>1175</v>
      </c>
      <c r="X564" s="37">
        <v>0</v>
      </c>
      <c r="Y564" s="37">
        <v>0</v>
      </c>
      <c r="Z564" s="79">
        <v>0</v>
      </c>
      <c r="AA564" s="19">
        <f t="shared" si="153"/>
        <v>4692992.8</v>
      </c>
    </row>
    <row r="565" spans="1:27" s="12" customFormat="1" ht="93.75" customHeight="1" x14ac:dyDescent="0.25">
      <c r="A565" s="17">
        <f>IF(OR(D565=0,D565=""),"",COUNTA($D$535:D565))</f>
        <v>22</v>
      </c>
      <c r="B565" s="17" t="s">
        <v>687</v>
      </c>
      <c r="C565" s="90" t="s">
        <v>544</v>
      </c>
      <c r="D565" s="43">
        <v>1987</v>
      </c>
      <c r="E565" s="16">
        <v>1182.5</v>
      </c>
      <c r="F565" s="16">
        <v>732.4</v>
      </c>
      <c r="G565" s="16">
        <v>450.1</v>
      </c>
      <c r="H565" s="17" t="s">
        <v>250</v>
      </c>
      <c r="I565" s="15"/>
      <c r="J565" s="16"/>
      <c r="K565" s="16"/>
      <c r="L565" s="16"/>
      <c r="M565" s="18"/>
      <c r="N565" s="16"/>
      <c r="O565" s="16"/>
      <c r="P565" s="16">
        <f t="shared" si="156"/>
        <v>4683882.5</v>
      </c>
      <c r="Q565" s="16"/>
      <c r="R565" s="16"/>
      <c r="S565" s="16"/>
      <c r="T565" s="16"/>
      <c r="U565" s="16"/>
      <c r="V565" s="19">
        <f t="shared" si="152"/>
        <v>4683882.5</v>
      </c>
      <c r="W565" s="20" t="s">
        <v>1175</v>
      </c>
      <c r="X565" s="37">
        <v>0</v>
      </c>
      <c r="Y565" s="37">
        <v>0</v>
      </c>
      <c r="Z565" s="79">
        <v>0</v>
      </c>
      <c r="AA565" s="19">
        <f t="shared" si="153"/>
        <v>4683882.5</v>
      </c>
    </row>
    <row r="566" spans="1:27" s="12" customFormat="1" ht="93.75" customHeight="1" x14ac:dyDescent="0.25">
      <c r="A566" s="17">
        <f>IF(OR(D566=0,D566=""),"",COUNTA($D$535:D566))</f>
        <v>23</v>
      </c>
      <c r="B566" s="17" t="s">
        <v>686</v>
      </c>
      <c r="C566" s="90" t="s">
        <v>514</v>
      </c>
      <c r="D566" s="43">
        <v>1987</v>
      </c>
      <c r="E566" s="16">
        <v>1182</v>
      </c>
      <c r="F566" s="16">
        <v>732.1</v>
      </c>
      <c r="G566" s="16">
        <v>449.9</v>
      </c>
      <c r="H566" s="17" t="s">
        <v>250</v>
      </c>
      <c r="I566" s="15"/>
      <c r="J566" s="16"/>
      <c r="K566" s="16"/>
      <c r="L566" s="16"/>
      <c r="M566" s="18"/>
      <c r="N566" s="16"/>
      <c r="O566" s="16"/>
      <c r="P566" s="16">
        <f t="shared" si="156"/>
        <v>4681902</v>
      </c>
      <c r="Q566" s="16"/>
      <c r="R566" s="16"/>
      <c r="S566" s="16"/>
      <c r="T566" s="16"/>
      <c r="U566" s="16"/>
      <c r="V566" s="19">
        <f t="shared" si="152"/>
        <v>4681902</v>
      </c>
      <c r="W566" s="20" t="s">
        <v>1175</v>
      </c>
      <c r="X566" s="37">
        <v>0</v>
      </c>
      <c r="Y566" s="37">
        <v>0</v>
      </c>
      <c r="Z566" s="79">
        <v>0</v>
      </c>
      <c r="AA566" s="19">
        <f t="shared" si="153"/>
        <v>4681902</v>
      </c>
    </row>
    <row r="567" spans="1:27" s="12" customFormat="1" ht="93.75" customHeight="1" x14ac:dyDescent="0.25">
      <c r="A567" s="17">
        <f>IF(OR(D567=0,D567=""),"",COUNTA($D$535:D567))</f>
        <v>24</v>
      </c>
      <c r="B567" s="17" t="s">
        <v>689</v>
      </c>
      <c r="C567" s="90" t="s">
        <v>31</v>
      </c>
      <c r="D567" s="43">
        <v>1977</v>
      </c>
      <c r="E567" s="16">
        <v>1850.5</v>
      </c>
      <c r="F567" s="16">
        <v>1078.4000000000001</v>
      </c>
      <c r="G567" s="16">
        <v>0</v>
      </c>
      <c r="H567" s="17" t="s">
        <v>250</v>
      </c>
      <c r="I567" s="15"/>
      <c r="J567" s="16"/>
      <c r="K567" s="16"/>
      <c r="L567" s="16"/>
      <c r="M567" s="18"/>
      <c r="N567" s="16"/>
      <c r="O567" s="16"/>
      <c r="P567" s="16">
        <f t="shared" si="156"/>
        <v>7329830.5</v>
      </c>
      <c r="Q567" s="16"/>
      <c r="R567" s="16">
        <f>E567*3011</f>
        <v>5571855.5</v>
      </c>
      <c r="S567" s="16"/>
      <c r="T567" s="16"/>
      <c r="U567" s="16"/>
      <c r="V567" s="19">
        <f t="shared" si="152"/>
        <v>12901686</v>
      </c>
      <c r="W567" s="20" t="s">
        <v>1175</v>
      </c>
      <c r="X567" s="37">
        <v>0</v>
      </c>
      <c r="Y567" s="37">
        <v>0</v>
      </c>
      <c r="Z567" s="79">
        <v>0</v>
      </c>
      <c r="AA567" s="19">
        <f t="shared" si="153"/>
        <v>12901686</v>
      </c>
    </row>
    <row r="568" spans="1:27" s="13" customFormat="1" ht="93.75" customHeight="1" x14ac:dyDescent="0.25">
      <c r="A568" s="17" t="str">
        <f>IF(OR(D568=0,D568=""),"",COUNTA($D$535:D568))</f>
        <v/>
      </c>
      <c r="B568" s="17"/>
      <c r="C568" s="89"/>
      <c r="D568" s="21"/>
      <c r="E568" s="26">
        <f>SUM(E554:E567)</f>
        <v>20416.400000000001</v>
      </c>
      <c r="F568" s="26">
        <f>SUM(F554:F567)</f>
        <v>13070.099999999999</v>
      </c>
      <c r="G568" s="26">
        <f>SUM(G554:G567)</f>
        <v>6574.2</v>
      </c>
      <c r="H568" s="17"/>
      <c r="I568" s="15"/>
      <c r="J568" s="26"/>
      <c r="K568" s="26"/>
      <c r="L568" s="26"/>
      <c r="M568" s="29"/>
      <c r="N568" s="26"/>
      <c r="O568" s="26"/>
      <c r="P568" s="26"/>
      <c r="Q568" s="26"/>
      <c r="R568" s="26"/>
      <c r="S568" s="26"/>
      <c r="T568" s="26"/>
      <c r="U568" s="17"/>
      <c r="V568" s="28">
        <f>SUM(V554:V567)</f>
        <v>84079089.900000006</v>
      </c>
      <c r="W568" s="28"/>
      <c r="X568" s="28">
        <f>SUM(X554:X567)</f>
        <v>0</v>
      </c>
      <c r="Y568" s="28">
        <f>SUM(Y554:Y567)</f>
        <v>0</v>
      </c>
      <c r="Z568" s="81">
        <f>SUM(Z554:Z567)</f>
        <v>0</v>
      </c>
      <c r="AA568" s="28">
        <f>V568-(X568+Y568+Z568)</f>
        <v>84079089.900000006</v>
      </c>
    </row>
    <row r="569" spans="1:27" s="12" customFormat="1" ht="93.75" customHeight="1" x14ac:dyDescent="0.25">
      <c r="A569" s="17" t="str">
        <f>IF(OR(D569=0,D569=""),"",COUNTA($D$535:D569))</f>
        <v/>
      </c>
      <c r="B569" s="17"/>
      <c r="C569" s="89" t="s">
        <v>1202</v>
      </c>
      <c r="D569" s="43"/>
      <c r="E569" s="16"/>
      <c r="F569" s="16"/>
      <c r="G569" s="16"/>
      <c r="H569" s="17"/>
      <c r="I569" s="15"/>
      <c r="J569" s="16"/>
      <c r="K569" s="16"/>
      <c r="L569" s="16"/>
      <c r="M569" s="18"/>
      <c r="N569" s="16"/>
      <c r="O569" s="16"/>
      <c r="P569" s="16"/>
      <c r="Q569" s="16"/>
      <c r="R569" s="16"/>
      <c r="S569" s="16"/>
      <c r="T569" s="16"/>
      <c r="U569" s="15"/>
      <c r="V569" s="19"/>
      <c r="W569" s="20"/>
      <c r="X569" s="37"/>
      <c r="Y569" s="37"/>
      <c r="Z569" s="20"/>
      <c r="AA569" s="19"/>
    </row>
    <row r="570" spans="1:27" s="12" customFormat="1" ht="93.75" customHeight="1" x14ac:dyDescent="0.25">
      <c r="A570" s="17">
        <f>IF(OR(D570=0,D570=""),"",COUNTA($D$535:D570))</f>
        <v>25</v>
      </c>
      <c r="B570" s="17" t="s">
        <v>704</v>
      </c>
      <c r="C570" s="90" t="s">
        <v>595</v>
      </c>
      <c r="D570" s="43">
        <v>1962</v>
      </c>
      <c r="E570" s="16">
        <v>439.3</v>
      </c>
      <c r="F570" s="16">
        <v>266</v>
      </c>
      <c r="G570" s="16">
        <v>0</v>
      </c>
      <c r="H570" s="17" t="s">
        <v>250</v>
      </c>
      <c r="I570" s="15"/>
      <c r="J570" s="16"/>
      <c r="K570" s="16"/>
      <c r="L570" s="16"/>
      <c r="M570" s="18"/>
      <c r="N570" s="32"/>
      <c r="O570" s="32"/>
      <c r="P570" s="16">
        <f>E570*3961</f>
        <v>1740067.3</v>
      </c>
      <c r="Q570" s="32"/>
      <c r="R570" s="16"/>
      <c r="S570" s="16"/>
      <c r="T570" s="16"/>
      <c r="U570" s="16"/>
      <c r="V570" s="19">
        <f t="shared" ref="V570:V572" si="159">J570+K570+L570+M570+N570+O570+P570+Q570+R570+S570+T570+U570</f>
        <v>1740067.3</v>
      </c>
      <c r="W570" s="20" t="s">
        <v>1175</v>
      </c>
      <c r="X570" s="37">
        <v>0</v>
      </c>
      <c r="Y570" s="37">
        <v>0</v>
      </c>
      <c r="Z570" s="79">
        <v>0</v>
      </c>
      <c r="AA570" s="19">
        <f t="shared" ref="AA570:AA572" si="160">V570-(X570+Y570+Z570)</f>
        <v>1740067.3</v>
      </c>
    </row>
    <row r="571" spans="1:27" s="12" customFormat="1" ht="93.75" customHeight="1" x14ac:dyDescent="0.25">
      <c r="A571" s="17">
        <f>IF(OR(D571=0,D571=""),"",COUNTA($D$535:D571))</f>
        <v>26</v>
      </c>
      <c r="B571" s="17" t="s">
        <v>705</v>
      </c>
      <c r="C571" s="90" t="s">
        <v>596</v>
      </c>
      <c r="D571" s="43">
        <v>1960</v>
      </c>
      <c r="E571" s="16">
        <v>353.7</v>
      </c>
      <c r="F571" s="16">
        <v>280.39999999999998</v>
      </c>
      <c r="G571" s="16">
        <v>0</v>
      </c>
      <c r="H571" s="17" t="s">
        <v>250</v>
      </c>
      <c r="I571" s="15"/>
      <c r="J571" s="16"/>
      <c r="K571" s="16"/>
      <c r="L571" s="16"/>
      <c r="M571" s="18"/>
      <c r="N571" s="32"/>
      <c r="O571" s="32"/>
      <c r="P571" s="16">
        <f>E571*3961</f>
        <v>1401005.7</v>
      </c>
      <c r="Q571" s="32"/>
      <c r="R571" s="16"/>
      <c r="S571" s="16"/>
      <c r="T571" s="16"/>
      <c r="U571" s="16"/>
      <c r="V571" s="19">
        <f t="shared" si="159"/>
        <v>1401005.7</v>
      </c>
      <c r="W571" s="20" t="s">
        <v>1175</v>
      </c>
      <c r="X571" s="37">
        <v>0</v>
      </c>
      <c r="Y571" s="37">
        <v>0</v>
      </c>
      <c r="Z571" s="79">
        <v>0</v>
      </c>
      <c r="AA571" s="19">
        <f t="shared" si="160"/>
        <v>1401005.7</v>
      </c>
    </row>
    <row r="572" spans="1:27" s="12" customFormat="1" ht="93.75" customHeight="1" x14ac:dyDescent="0.25">
      <c r="A572" s="17">
        <f>IF(OR(D572=0,D572=""),"",COUNTA($D$535:D572))</f>
        <v>27</v>
      </c>
      <c r="B572" s="17" t="s">
        <v>703</v>
      </c>
      <c r="C572" s="90" t="s">
        <v>515</v>
      </c>
      <c r="D572" s="43">
        <v>1980</v>
      </c>
      <c r="E572" s="16">
        <v>1214.4000000000001</v>
      </c>
      <c r="F572" s="16">
        <v>431.1</v>
      </c>
      <c r="G572" s="16">
        <v>359.2</v>
      </c>
      <c r="H572" s="17" t="s">
        <v>250</v>
      </c>
      <c r="I572" s="15"/>
      <c r="J572" s="16"/>
      <c r="K572" s="16"/>
      <c r="L572" s="16"/>
      <c r="M572" s="18"/>
      <c r="N572" s="32"/>
      <c r="O572" s="32"/>
      <c r="P572" s="16">
        <f>E572*3961</f>
        <v>4810238.4000000004</v>
      </c>
      <c r="Q572" s="32"/>
      <c r="R572" s="16"/>
      <c r="S572" s="16"/>
      <c r="T572" s="16"/>
      <c r="U572" s="16"/>
      <c r="V572" s="19">
        <f t="shared" si="159"/>
        <v>4810238.4000000004</v>
      </c>
      <c r="W572" s="20" t="s">
        <v>1175</v>
      </c>
      <c r="X572" s="37">
        <v>0</v>
      </c>
      <c r="Y572" s="37">
        <v>0</v>
      </c>
      <c r="Z572" s="79">
        <v>0</v>
      </c>
      <c r="AA572" s="19">
        <f t="shared" si="160"/>
        <v>4810238.4000000004</v>
      </c>
    </row>
    <row r="573" spans="1:27" s="13" customFormat="1" ht="93.75" customHeight="1" x14ac:dyDescent="0.25">
      <c r="A573" s="17" t="str">
        <f>IF(OR(D573=0,D573=""),"",COUNTA($D$535:D573))</f>
        <v/>
      </c>
      <c r="B573" s="17"/>
      <c r="C573" s="89"/>
      <c r="D573" s="21"/>
      <c r="E573" s="26">
        <f>SUM(E570:E572)</f>
        <v>2007.4</v>
      </c>
      <c r="F573" s="26">
        <f>SUM(F570:F572)</f>
        <v>977.5</v>
      </c>
      <c r="G573" s="26">
        <f>SUM(G570:G572)</f>
        <v>359.2</v>
      </c>
      <c r="H573" s="17"/>
      <c r="I573" s="15"/>
      <c r="J573" s="26"/>
      <c r="K573" s="26"/>
      <c r="L573" s="26"/>
      <c r="M573" s="29"/>
      <c r="N573" s="26"/>
      <c r="O573" s="26"/>
      <c r="P573" s="26"/>
      <c r="Q573" s="26"/>
      <c r="R573" s="26"/>
      <c r="S573" s="26"/>
      <c r="T573" s="26"/>
      <c r="U573" s="17"/>
      <c r="V573" s="28">
        <f>SUM(V570:V572)</f>
        <v>7951311.4000000004</v>
      </c>
      <c r="W573" s="28"/>
      <c r="X573" s="28">
        <f>SUM(X570:X572)</f>
        <v>0</v>
      </c>
      <c r="Y573" s="28">
        <f>SUM(Y570:Y572)</f>
        <v>0</v>
      </c>
      <c r="Z573" s="81">
        <f>SUM(Z570:Z572)</f>
        <v>0</v>
      </c>
      <c r="AA573" s="28">
        <f>V573-(X573+Y573+Z573)</f>
        <v>7951311.4000000004</v>
      </c>
    </row>
    <row r="574" spans="1:27" s="13" customFormat="1" ht="93.75" customHeight="1" x14ac:dyDescent="0.25">
      <c r="A574" s="17" t="str">
        <f>IF(OR(D574=0,D574=""),"",COUNTA($D$535:D574))</f>
        <v/>
      </c>
      <c r="B574" s="17"/>
      <c r="C574" s="89" t="s">
        <v>1203</v>
      </c>
      <c r="D574" s="21"/>
      <c r="E574" s="26"/>
      <c r="F574" s="26"/>
      <c r="G574" s="26"/>
      <c r="H574" s="17"/>
      <c r="I574" s="15"/>
      <c r="J574" s="26"/>
      <c r="K574" s="26"/>
      <c r="L574" s="26"/>
      <c r="M574" s="29"/>
      <c r="N574" s="26"/>
      <c r="O574" s="26"/>
      <c r="P574" s="26"/>
      <c r="Q574" s="26"/>
      <c r="R574" s="26"/>
      <c r="S574" s="26"/>
      <c r="T574" s="26"/>
      <c r="U574" s="17"/>
      <c r="V574" s="28"/>
      <c r="W574" s="28"/>
      <c r="X574" s="28"/>
      <c r="Y574" s="28"/>
      <c r="Z574" s="81"/>
      <c r="AA574" s="28"/>
    </row>
    <row r="575" spans="1:27" s="13" customFormat="1" ht="93.75" customHeight="1" x14ac:dyDescent="0.25">
      <c r="A575" s="17">
        <f>IF(OR(D575=0,D575=""),"",COUNTA($D$535:D575))</f>
        <v>28</v>
      </c>
      <c r="B575" s="17" t="s">
        <v>702</v>
      </c>
      <c r="C575" s="90" t="s">
        <v>523</v>
      </c>
      <c r="D575" s="43">
        <v>1986</v>
      </c>
      <c r="E575" s="16">
        <v>961.8</v>
      </c>
      <c r="F575" s="16">
        <v>503.8</v>
      </c>
      <c r="G575" s="16">
        <v>90</v>
      </c>
      <c r="H575" s="17" t="s">
        <v>250</v>
      </c>
      <c r="I575" s="15"/>
      <c r="J575" s="16"/>
      <c r="K575" s="16"/>
      <c r="L575" s="16"/>
      <c r="M575" s="18"/>
      <c r="N575" s="16"/>
      <c r="O575" s="16"/>
      <c r="P575" s="16">
        <f>E575*3961</f>
        <v>3809689.8</v>
      </c>
      <c r="Q575" s="16"/>
      <c r="R575" s="16"/>
      <c r="S575" s="16"/>
      <c r="T575" s="16"/>
      <c r="U575" s="15"/>
      <c r="V575" s="19">
        <f t="shared" ref="V575:V576" si="161">J575+K575+L575+M575+N575+O575+P575+Q575+R575+S575+T575+U575</f>
        <v>3809689.8</v>
      </c>
      <c r="W575" s="20" t="s">
        <v>1175</v>
      </c>
      <c r="X575" s="37">
        <v>0</v>
      </c>
      <c r="Y575" s="37">
        <v>0</v>
      </c>
      <c r="Z575" s="79">
        <v>0</v>
      </c>
      <c r="AA575" s="19">
        <f>V575-(X575+Y575+Z575)</f>
        <v>3809689.8</v>
      </c>
    </row>
    <row r="576" spans="1:27" s="13" customFormat="1" ht="93.75" customHeight="1" x14ac:dyDescent="0.25">
      <c r="A576" s="17">
        <f>IF(OR(D576=0,D576=""),"",COUNTA($D$535:D576))</f>
        <v>29</v>
      </c>
      <c r="B576" s="17" t="s">
        <v>701</v>
      </c>
      <c r="C576" s="96" t="s">
        <v>591</v>
      </c>
      <c r="D576" s="43">
        <v>1971</v>
      </c>
      <c r="E576" s="16">
        <v>755.1</v>
      </c>
      <c r="F576" s="16">
        <v>432.8</v>
      </c>
      <c r="G576" s="16">
        <v>60</v>
      </c>
      <c r="H576" s="17" t="s">
        <v>250</v>
      </c>
      <c r="I576" s="15"/>
      <c r="J576" s="16"/>
      <c r="K576" s="16"/>
      <c r="L576" s="16"/>
      <c r="M576" s="18"/>
      <c r="N576" s="16"/>
      <c r="O576" s="16"/>
      <c r="P576" s="16">
        <f>E576*3961</f>
        <v>2990951.1</v>
      </c>
      <c r="Q576" s="16"/>
      <c r="R576" s="16"/>
      <c r="S576" s="16"/>
      <c r="T576" s="16"/>
      <c r="U576" s="15"/>
      <c r="V576" s="19">
        <f t="shared" si="161"/>
        <v>2990951.1</v>
      </c>
      <c r="W576" s="20" t="s">
        <v>1175</v>
      </c>
      <c r="X576" s="37">
        <v>0</v>
      </c>
      <c r="Y576" s="37">
        <v>0</v>
      </c>
      <c r="Z576" s="79">
        <v>0</v>
      </c>
      <c r="AA576" s="19">
        <f t="shared" ref="AA576" si="162">V576-(X576+Y576+Z576)</f>
        <v>2990951.1</v>
      </c>
    </row>
    <row r="577" spans="1:27" s="13" customFormat="1" ht="93.75" customHeight="1" x14ac:dyDescent="0.25">
      <c r="A577" s="17" t="str">
        <f>IF(OR(D577=0,D577=""),"",COUNTA($D$535:D577))</f>
        <v/>
      </c>
      <c r="B577" s="17"/>
      <c r="C577" s="89"/>
      <c r="D577" s="21"/>
      <c r="E577" s="26">
        <f>SUM(E575:E576)</f>
        <v>1716.9</v>
      </c>
      <c r="F577" s="26">
        <f t="shared" ref="F577:G577" si="163">SUM(F575:F576)</f>
        <v>936.6</v>
      </c>
      <c r="G577" s="26">
        <f t="shared" si="163"/>
        <v>150</v>
      </c>
      <c r="H577" s="17"/>
      <c r="I577" s="15"/>
      <c r="J577" s="26"/>
      <c r="K577" s="26"/>
      <c r="L577" s="26"/>
      <c r="M577" s="29"/>
      <c r="N577" s="26"/>
      <c r="O577" s="26"/>
      <c r="P577" s="26"/>
      <c r="Q577" s="26"/>
      <c r="R577" s="26"/>
      <c r="S577" s="26"/>
      <c r="T577" s="26"/>
      <c r="U577" s="17"/>
      <c r="V577" s="26">
        <f>SUM(V575:V576)</f>
        <v>6800640.9000000004</v>
      </c>
      <c r="W577" s="28"/>
      <c r="X577" s="28"/>
      <c r="Y577" s="28"/>
      <c r="Z577" s="81"/>
      <c r="AA577" s="26">
        <f>SUM(AA575:AA576)</f>
        <v>6800640.9000000004</v>
      </c>
    </row>
    <row r="578" spans="1:27" s="12" customFormat="1" ht="93.75" customHeight="1" x14ac:dyDescent="0.25">
      <c r="A578" s="17" t="str">
        <f>IF(OR(D578=0,D578=""),"",COUNTA($D$535:D578))</f>
        <v/>
      </c>
      <c r="B578" s="17"/>
      <c r="C578" s="89" t="s">
        <v>1219</v>
      </c>
      <c r="D578" s="43"/>
      <c r="E578" s="16"/>
      <c r="F578" s="16"/>
      <c r="G578" s="16"/>
      <c r="H578" s="17"/>
      <c r="I578" s="15"/>
      <c r="J578" s="16"/>
      <c r="K578" s="16"/>
      <c r="L578" s="16"/>
      <c r="M578" s="18"/>
      <c r="N578" s="16"/>
      <c r="O578" s="16"/>
      <c r="P578" s="16"/>
      <c r="Q578" s="16"/>
      <c r="R578" s="16"/>
      <c r="S578" s="16"/>
      <c r="T578" s="16"/>
      <c r="U578" s="15"/>
      <c r="V578" s="19"/>
      <c r="W578" s="20"/>
      <c r="X578" s="37"/>
      <c r="Y578" s="37"/>
      <c r="Z578" s="20"/>
      <c r="AA578" s="19"/>
    </row>
    <row r="579" spans="1:27" s="12" customFormat="1" ht="93.75" customHeight="1" x14ac:dyDescent="0.25">
      <c r="A579" s="17">
        <f>IF(OR(D579=0,D579=""),"",COUNTA($D$535:D579))</f>
        <v>30</v>
      </c>
      <c r="B579" s="17" t="s">
        <v>725</v>
      </c>
      <c r="C579" s="90" t="s">
        <v>57</v>
      </c>
      <c r="D579" s="43">
        <v>1968</v>
      </c>
      <c r="E579" s="16">
        <v>5862.1</v>
      </c>
      <c r="F579" s="16">
        <v>4413.3</v>
      </c>
      <c r="G579" s="16">
        <v>0</v>
      </c>
      <c r="H579" s="17" t="s">
        <v>257</v>
      </c>
      <c r="I579" s="15"/>
      <c r="J579" s="16"/>
      <c r="K579" s="16"/>
      <c r="L579" s="16"/>
      <c r="M579" s="18"/>
      <c r="N579" s="16"/>
      <c r="O579" s="16"/>
      <c r="P579" s="16">
        <f>2308*E579</f>
        <v>13529726.800000001</v>
      </c>
      <c r="Q579" s="16"/>
      <c r="R579" s="16"/>
      <c r="S579" s="16"/>
      <c r="T579" s="16"/>
      <c r="U579" s="16"/>
      <c r="V579" s="19">
        <f t="shared" ref="V579:V635" si="164">J579+K579+L579+M579+N579+O579+P579+Q579+R579+S579+T579+U579</f>
        <v>13529726.800000001</v>
      </c>
      <c r="W579" s="20" t="s">
        <v>1175</v>
      </c>
      <c r="X579" s="37">
        <v>0</v>
      </c>
      <c r="Y579" s="37">
        <v>0</v>
      </c>
      <c r="Z579" s="79">
        <v>0</v>
      </c>
      <c r="AA579" s="19">
        <f t="shared" ref="AA579:AA635" si="165">V579-(X579+Y579+Z579)</f>
        <v>13529726.800000001</v>
      </c>
    </row>
    <row r="580" spans="1:27" s="12" customFormat="1" ht="93.75" customHeight="1" x14ac:dyDescent="0.25">
      <c r="A580" s="17">
        <f>IF(OR(D580=0,D580=""),"",COUNTA($D$535:D580))</f>
        <v>31</v>
      </c>
      <c r="B580" s="17" t="s">
        <v>801</v>
      </c>
      <c r="C580" s="90" t="s">
        <v>393</v>
      </c>
      <c r="D580" s="43">
        <v>1972</v>
      </c>
      <c r="E580" s="16">
        <v>6073.6</v>
      </c>
      <c r="F580" s="16">
        <v>4402</v>
      </c>
      <c r="G580" s="16">
        <v>1671.6</v>
      </c>
      <c r="H580" s="17" t="s">
        <v>257</v>
      </c>
      <c r="I580" s="15"/>
      <c r="J580" s="16"/>
      <c r="K580" s="16"/>
      <c r="L580" s="16"/>
      <c r="M580" s="18"/>
      <c r="N580" s="16"/>
      <c r="O580" s="16"/>
      <c r="P580" s="16">
        <f>2308*E580</f>
        <v>14017868.800000001</v>
      </c>
      <c r="Q580" s="16"/>
      <c r="R580" s="16"/>
      <c r="S580" s="16"/>
      <c r="T580" s="16"/>
      <c r="U580" s="16"/>
      <c r="V580" s="19">
        <f t="shared" si="164"/>
        <v>14017868.800000001</v>
      </c>
      <c r="W580" s="20" t="s">
        <v>1175</v>
      </c>
      <c r="X580" s="37">
        <v>0</v>
      </c>
      <c r="Y580" s="37">
        <v>0</v>
      </c>
      <c r="Z580" s="79">
        <v>0</v>
      </c>
      <c r="AA580" s="19">
        <f t="shared" si="165"/>
        <v>14017868.800000001</v>
      </c>
    </row>
    <row r="581" spans="1:27" s="12" customFormat="1" ht="93.75" customHeight="1" x14ac:dyDescent="0.25">
      <c r="A581" s="17">
        <f>IF(OR(D581=0,D581=""),"",COUNTA($D$535:D581))</f>
        <v>32</v>
      </c>
      <c r="B581" s="17" t="s">
        <v>969</v>
      </c>
      <c r="C581" s="90" t="s">
        <v>583</v>
      </c>
      <c r="D581" s="43">
        <v>1972</v>
      </c>
      <c r="E581" s="16">
        <v>5770.3</v>
      </c>
      <c r="F581" s="16">
        <v>4361.1000000000004</v>
      </c>
      <c r="G581" s="16">
        <v>0</v>
      </c>
      <c r="H581" s="17" t="s">
        <v>257</v>
      </c>
      <c r="I581" s="15"/>
      <c r="J581" s="16"/>
      <c r="K581" s="16"/>
      <c r="L581" s="16"/>
      <c r="M581" s="18"/>
      <c r="N581" s="16"/>
      <c r="O581" s="16"/>
      <c r="P581" s="16">
        <f>2308*E581</f>
        <v>13317852.4</v>
      </c>
      <c r="Q581" s="16"/>
      <c r="R581" s="16"/>
      <c r="S581" s="16"/>
      <c r="T581" s="16"/>
      <c r="U581" s="16"/>
      <c r="V581" s="19">
        <f t="shared" si="164"/>
        <v>13317852.4</v>
      </c>
      <c r="W581" s="20" t="s">
        <v>1175</v>
      </c>
      <c r="X581" s="37">
        <v>0</v>
      </c>
      <c r="Y581" s="37">
        <v>0</v>
      </c>
      <c r="Z581" s="79">
        <v>0</v>
      </c>
      <c r="AA581" s="19">
        <f t="shared" si="165"/>
        <v>13317852.4</v>
      </c>
    </row>
    <row r="582" spans="1:27" s="12" customFormat="1" ht="93.75" customHeight="1" x14ac:dyDescent="0.25">
      <c r="A582" s="17">
        <f>IF(OR(D582=0,D582=""),"",COUNTA($D$535:D582))</f>
        <v>33</v>
      </c>
      <c r="B582" s="17" t="s">
        <v>997</v>
      </c>
      <c r="C582" s="90" t="s">
        <v>584</v>
      </c>
      <c r="D582" s="43">
        <v>1961</v>
      </c>
      <c r="E582" s="16">
        <v>743.4</v>
      </c>
      <c r="F582" s="16">
        <v>407.3</v>
      </c>
      <c r="G582" s="16">
        <v>0</v>
      </c>
      <c r="H582" s="17" t="s">
        <v>250</v>
      </c>
      <c r="I582" s="15"/>
      <c r="J582" s="16"/>
      <c r="K582" s="16"/>
      <c r="L582" s="16"/>
      <c r="M582" s="18"/>
      <c r="N582" s="16"/>
      <c r="O582" s="16"/>
      <c r="P582" s="16">
        <f>E582*3961</f>
        <v>2944607.4</v>
      </c>
      <c r="Q582" s="16"/>
      <c r="R582" s="16"/>
      <c r="S582" s="16"/>
      <c r="T582" s="16"/>
      <c r="U582" s="16"/>
      <c r="V582" s="19">
        <f t="shared" si="164"/>
        <v>2944607.4</v>
      </c>
      <c r="W582" s="20" t="s">
        <v>1175</v>
      </c>
      <c r="X582" s="37">
        <v>0</v>
      </c>
      <c r="Y582" s="37">
        <v>0</v>
      </c>
      <c r="Z582" s="79">
        <v>0</v>
      </c>
      <c r="AA582" s="19">
        <f t="shared" si="165"/>
        <v>2944607.4</v>
      </c>
    </row>
    <row r="583" spans="1:27" s="12" customFormat="1" ht="93.75" customHeight="1" x14ac:dyDescent="0.25">
      <c r="A583" s="17">
        <f>IF(OR(D583=0,D583=""),"",COUNTA($D$535:D583))</f>
        <v>34</v>
      </c>
      <c r="B583" s="17" t="s">
        <v>826</v>
      </c>
      <c r="C583" s="90" t="s">
        <v>585</v>
      </c>
      <c r="D583" s="43">
        <v>1975</v>
      </c>
      <c r="E583" s="16">
        <v>5606.8</v>
      </c>
      <c r="F583" s="16">
        <v>3750.5</v>
      </c>
      <c r="G583" s="16">
        <v>35.9</v>
      </c>
      <c r="H583" s="17" t="s">
        <v>257</v>
      </c>
      <c r="I583" s="15"/>
      <c r="J583" s="16"/>
      <c r="K583" s="16"/>
      <c r="L583" s="16"/>
      <c r="M583" s="18"/>
      <c r="N583" s="16"/>
      <c r="O583" s="16"/>
      <c r="P583" s="16">
        <f>2308*E583</f>
        <v>12940494.4</v>
      </c>
      <c r="Q583" s="16"/>
      <c r="R583" s="16"/>
      <c r="S583" s="16"/>
      <c r="T583" s="16"/>
      <c r="U583" s="16"/>
      <c r="V583" s="19">
        <f t="shared" si="164"/>
        <v>12940494.4</v>
      </c>
      <c r="W583" s="20" t="s">
        <v>1175</v>
      </c>
      <c r="X583" s="37">
        <v>0</v>
      </c>
      <c r="Y583" s="37">
        <v>0</v>
      </c>
      <c r="Z583" s="79">
        <v>0</v>
      </c>
      <c r="AA583" s="19">
        <f t="shared" si="165"/>
        <v>12940494.4</v>
      </c>
    </row>
    <row r="584" spans="1:27" s="12" customFormat="1" ht="93.75" customHeight="1" x14ac:dyDescent="0.25">
      <c r="A584" s="17">
        <f>IF(OR(D584=0,D584=""),"",COUNTA($D$535:D584))</f>
        <v>35</v>
      </c>
      <c r="B584" s="17" t="s">
        <v>747</v>
      </c>
      <c r="C584" s="90" t="s">
        <v>599</v>
      </c>
      <c r="D584" s="43">
        <v>1980</v>
      </c>
      <c r="E584" s="16">
        <v>3688.4</v>
      </c>
      <c r="F584" s="16">
        <v>2778.2</v>
      </c>
      <c r="G584" s="16">
        <v>56.2</v>
      </c>
      <c r="H584" s="17" t="s">
        <v>257</v>
      </c>
      <c r="I584" s="15"/>
      <c r="J584" s="16"/>
      <c r="K584" s="16"/>
      <c r="L584" s="16"/>
      <c r="M584" s="18"/>
      <c r="N584" s="16"/>
      <c r="O584" s="16"/>
      <c r="P584" s="16"/>
      <c r="Q584" s="16"/>
      <c r="R584" s="16">
        <f>E584*2763</f>
        <v>10191049.200000001</v>
      </c>
      <c r="S584" s="16"/>
      <c r="T584" s="16"/>
      <c r="U584" s="16"/>
      <c r="V584" s="19">
        <f t="shared" ref="V584:V585" si="166">J584+K584+L584+M584+N584+O584+P584+Q584+R584+S584+T584+U584</f>
        <v>10191049.200000001</v>
      </c>
      <c r="W584" s="20" t="s">
        <v>1175</v>
      </c>
      <c r="X584" s="37">
        <v>0</v>
      </c>
      <c r="Y584" s="37">
        <v>0</v>
      </c>
      <c r="Z584" s="79">
        <v>0</v>
      </c>
      <c r="AA584" s="19">
        <f t="shared" ref="AA584:AA585" si="167">V584-(X584+Y584+Z584)</f>
        <v>10191049.200000001</v>
      </c>
    </row>
    <row r="585" spans="1:27" s="12" customFormat="1" ht="93.75" customHeight="1" x14ac:dyDescent="0.25">
      <c r="A585" s="17">
        <f>IF(OR(D585=0,D585=""),"",COUNTA($D$535:D585))</f>
        <v>36</v>
      </c>
      <c r="B585" s="17" t="s">
        <v>752</v>
      </c>
      <c r="C585" s="90" t="s">
        <v>68</v>
      </c>
      <c r="D585" s="43">
        <v>1987</v>
      </c>
      <c r="E585" s="16">
        <v>6044.4</v>
      </c>
      <c r="F585" s="16">
        <v>3761</v>
      </c>
      <c r="G585" s="16">
        <v>0</v>
      </c>
      <c r="H585" s="17" t="s">
        <v>251</v>
      </c>
      <c r="I585" s="15"/>
      <c r="J585" s="16"/>
      <c r="K585" s="16"/>
      <c r="L585" s="16"/>
      <c r="M585" s="18"/>
      <c r="N585" s="16"/>
      <c r="O585" s="16"/>
      <c r="P585" s="16">
        <f>559*E585</f>
        <v>3378819.5999999996</v>
      </c>
      <c r="Q585" s="16"/>
      <c r="R585" s="16"/>
      <c r="S585" s="16"/>
      <c r="T585" s="16"/>
      <c r="U585" s="16"/>
      <c r="V585" s="19">
        <f t="shared" si="166"/>
        <v>3378819.5999999996</v>
      </c>
      <c r="W585" s="20" t="s">
        <v>1175</v>
      </c>
      <c r="X585" s="37">
        <v>0</v>
      </c>
      <c r="Y585" s="37">
        <v>0</v>
      </c>
      <c r="Z585" s="79">
        <v>0</v>
      </c>
      <c r="AA585" s="19">
        <f t="shared" si="167"/>
        <v>3378819.5999999996</v>
      </c>
    </row>
    <row r="586" spans="1:27" s="12" customFormat="1" ht="93.75" customHeight="1" x14ac:dyDescent="0.25">
      <c r="A586" s="17">
        <f>IF(OR(D586=0,D586=""),"",COUNTA($D$535:D586))</f>
        <v>37</v>
      </c>
      <c r="B586" s="17" t="s">
        <v>770</v>
      </c>
      <c r="C586" s="90" t="s">
        <v>444</v>
      </c>
      <c r="D586" s="52">
        <v>1969</v>
      </c>
      <c r="E586" s="46">
        <v>6104.5</v>
      </c>
      <c r="F586" s="46">
        <v>4315</v>
      </c>
      <c r="G586" s="16">
        <v>341.3</v>
      </c>
      <c r="H586" s="17" t="s">
        <v>257</v>
      </c>
      <c r="I586" s="15"/>
      <c r="J586" s="16"/>
      <c r="K586" s="16">
        <f>1207*E586</f>
        <v>7368131.5</v>
      </c>
      <c r="L586" s="16"/>
      <c r="M586" s="16">
        <f>855*E586</f>
        <v>5219347.5</v>
      </c>
      <c r="N586" s="16"/>
      <c r="O586" s="16"/>
      <c r="P586" s="16"/>
      <c r="Q586" s="16"/>
      <c r="R586" s="16"/>
      <c r="S586" s="16"/>
      <c r="T586" s="16"/>
      <c r="U586" s="16"/>
      <c r="V586" s="19">
        <f t="shared" ref="V586" si="168">J586+K586+L586+M586+N586+O586+P586+Q586+R586+S586+T586+U586</f>
        <v>12587479</v>
      </c>
      <c r="W586" s="20" t="s">
        <v>1175</v>
      </c>
      <c r="X586" s="37">
        <v>0</v>
      </c>
      <c r="Y586" s="37">
        <v>0</v>
      </c>
      <c r="Z586" s="79">
        <v>0</v>
      </c>
      <c r="AA586" s="19">
        <f t="shared" ref="AA586" si="169">V586-(X586+Y586+Z586)</f>
        <v>12587479</v>
      </c>
    </row>
    <row r="587" spans="1:27" s="12" customFormat="1" ht="93.75" customHeight="1" x14ac:dyDescent="0.25">
      <c r="A587" s="17">
        <f>IF(OR(D587=0,D587=""),"",COUNTA($D$535:D587))</f>
        <v>38</v>
      </c>
      <c r="B587" s="17" t="s">
        <v>1025</v>
      </c>
      <c r="C587" s="90" t="s">
        <v>586</v>
      </c>
      <c r="D587" s="43">
        <v>1968</v>
      </c>
      <c r="E587" s="16">
        <v>3625.4</v>
      </c>
      <c r="F587" s="16">
        <v>2736</v>
      </c>
      <c r="G587" s="16">
        <v>17.399999999999999</v>
      </c>
      <c r="H587" s="17" t="s">
        <v>257</v>
      </c>
      <c r="I587" s="15"/>
      <c r="J587" s="16"/>
      <c r="K587" s="16"/>
      <c r="L587" s="16"/>
      <c r="M587" s="18"/>
      <c r="N587" s="16"/>
      <c r="O587" s="16"/>
      <c r="P587" s="16">
        <f>2308*E587</f>
        <v>8367423.2000000002</v>
      </c>
      <c r="Q587" s="16"/>
      <c r="R587" s="16"/>
      <c r="S587" s="16"/>
      <c r="T587" s="16"/>
      <c r="U587" s="16"/>
      <c r="V587" s="19">
        <f t="shared" si="164"/>
        <v>8367423.2000000002</v>
      </c>
      <c r="W587" s="20" t="s">
        <v>1175</v>
      </c>
      <c r="X587" s="37">
        <v>0</v>
      </c>
      <c r="Y587" s="37">
        <v>0</v>
      </c>
      <c r="Z587" s="79">
        <v>0</v>
      </c>
      <c r="AA587" s="19">
        <f t="shared" si="165"/>
        <v>8367423.2000000002</v>
      </c>
    </row>
    <row r="588" spans="1:27" s="12" customFormat="1" ht="93.75" customHeight="1" x14ac:dyDescent="0.25">
      <c r="A588" s="17">
        <f>IF(OR(D588=0,D588=""),"",COUNTA($D$535:D588))</f>
        <v>39</v>
      </c>
      <c r="B588" s="17" t="s">
        <v>732</v>
      </c>
      <c r="C588" s="90" t="s">
        <v>587</v>
      </c>
      <c r="D588" s="43">
        <v>1979</v>
      </c>
      <c r="E588" s="16">
        <v>2383.8000000000002</v>
      </c>
      <c r="F588" s="16">
        <v>1933.3</v>
      </c>
      <c r="G588" s="16">
        <v>450.5</v>
      </c>
      <c r="H588" s="17" t="s">
        <v>255</v>
      </c>
      <c r="I588" s="15"/>
      <c r="J588" s="16">
        <f>E588*430</f>
        <v>1025034.0000000001</v>
      </c>
      <c r="K588" s="16"/>
      <c r="L588" s="16"/>
      <c r="M588" s="18"/>
      <c r="N588" s="16"/>
      <c r="O588" s="16"/>
      <c r="P588" s="16"/>
      <c r="Q588" s="16"/>
      <c r="R588" s="16"/>
      <c r="S588" s="16"/>
      <c r="T588" s="16"/>
      <c r="U588" s="16"/>
      <c r="V588" s="19">
        <f t="shared" si="164"/>
        <v>1025034.0000000001</v>
      </c>
      <c r="W588" s="20" t="s">
        <v>1175</v>
      </c>
      <c r="X588" s="37">
        <v>0</v>
      </c>
      <c r="Y588" s="37">
        <v>0</v>
      </c>
      <c r="Z588" s="79">
        <v>0</v>
      </c>
      <c r="AA588" s="19">
        <f t="shared" si="165"/>
        <v>1025034.0000000001</v>
      </c>
    </row>
    <row r="589" spans="1:27" s="12" customFormat="1" ht="93.75" customHeight="1" x14ac:dyDescent="0.25">
      <c r="A589" s="17">
        <f>IF(OR(D589=0,D589=""),"",COUNTA($D$535:D589))</f>
        <v>40</v>
      </c>
      <c r="B589" s="17" t="s">
        <v>1007</v>
      </c>
      <c r="C589" s="90" t="s">
        <v>588</v>
      </c>
      <c r="D589" s="43">
        <v>1979</v>
      </c>
      <c r="E589" s="16">
        <v>5496</v>
      </c>
      <c r="F589" s="16">
        <v>4461</v>
      </c>
      <c r="G589" s="16">
        <v>152.30000000000001</v>
      </c>
      <c r="H589" s="17" t="s">
        <v>257</v>
      </c>
      <c r="I589" s="15"/>
      <c r="J589" s="16"/>
      <c r="K589" s="16">
        <f>1207*E589</f>
        <v>6633672</v>
      </c>
      <c r="L589" s="16"/>
      <c r="M589" s="16"/>
      <c r="N589" s="16"/>
      <c r="O589" s="16"/>
      <c r="P589" s="16">
        <f>2308*E589</f>
        <v>12684768</v>
      </c>
      <c r="Q589" s="16"/>
      <c r="R589" s="16"/>
      <c r="S589" s="16"/>
      <c r="T589" s="16"/>
      <c r="U589" s="16"/>
      <c r="V589" s="19">
        <f t="shared" si="164"/>
        <v>19318440</v>
      </c>
      <c r="W589" s="20" t="s">
        <v>1175</v>
      </c>
      <c r="X589" s="37">
        <v>0</v>
      </c>
      <c r="Y589" s="37">
        <v>0</v>
      </c>
      <c r="Z589" s="79">
        <v>0</v>
      </c>
      <c r="AA589" s="19">
        <f t="shared" si="165"/>
        <v>19318440</v>
      </c>
    </row>
    <row r="590" spans="1:27" s="12" customFormat="1" ht="93.75" customHeight="1" x14ac:dyDescent="0.25">
      <c r="A590" s="17">
        <f>IF(OR(D590=0,D590=""),"",COUNTA($D$535:D590))</f>
        <v>41</v>
      </c>
      <c r="B590" s="17" t="s">
        <v>797</v>
      </c>
      <c r="C590" s="90" t="s">
        <v>94</v>
      </c>
      <c r="D590" s="43">
        <v>1972</v>
      </c>
      <c r="E590" s="16">
        <v>7966.89</v>
      </c>
      <c r="F590" s="16">
        <v>4716.59</v>
      </c>
      <c r="G590" s="16">
        <v>375.4</v>
      </c>
      <c r="H590" s="17" t="s">
        <v>257</v>
      </c>
      <c r="I590" s="15"/>
      <c r="J590" s="16">
        <f>406*E590</f>
        <v>3234557.3400000003</v>
      </c>
      <c r="K590" s="16">
        <f>1207*E590</f>
        <v>9616036.2300000004</v>
      </c>
      <c r="L590" s="16"/>
      <c r="M590" s="18"/>
      <c r="N590" s="16">
        <f>383*E590</f>
        <v>3051318.87</v>
      </c>
      <c r="O590" s="16"/>
      <c r="P590" s="16"/>
      <c r="Q590" s="16"/>
      <c r="R590" s="16"/>
      <c r="S590" s="16"/>
      <c r="T590" s="16"/>
      <c r="U590" s="16"/>
      <c r="V590" s="19">
        <f t="shared" si="164"/>
        <v>15901912.440000001</v>
      </c>
      <c r="W590" s="20" t="s">
        <v>1175</v>
      </c>
      <c r="X590" s="37">
        <v>0</v>
      </c>
      <c r="Y590" s="37">
        <v>0</v>
      </c>
      <c r="Z590" s="79">
        <v>0</v>
      </c>
      <c r="AA590" s="19">
        <f t="shared" si="165"/>
        <v>15901912.440000001</v>
      </c>
    </row>
    <row r="591" spans="1:27" s="12" customFormat="1" ht="93.75" customHeight="1" x14ac:dyDescent="0.25">
      <c r="A591" s="17">
        <f>IF(OR(D591=0,D591=""),"",COUNTA($D$535:D591))</f>
        <v>42</v>
      </c>
      <c r="B591" s="17" t="s">
        <v>840</v>
      </c>
      <c r="C591" s="90" t="s">
        <v>375</v>
      </c>
      <c r="D591" s="43">
        <v>1969</v>
      </c>
      <c r="E591" s="16">
        <v>7763.05</v>
      </c>
      <c r="F591" s="16">
        <v>5746.15</v>
      </c>
      <c r="G591" s="16">
        <v>0</v>
      </c>
      <c r="H591" s="17" t="s">
        <v>257</v>
      </c>
      <c r="I591" s="15"/>
      <c r="J591" s="16"/>
      <c r="K591" s="16"/>
      <c r="L591" s="16"/>
      <c r="M591" s="18"/>
      <c r="N591" s="16"/>
      <c r="O591" s="16"/>
      <c r="P591" s="16">
        <f>2308*E591</f>
        <v>17917119.400000002</v>
      </c>
      <c r="Q591" s="16"/>
      <c r="R591" s="16"/>
      <c r="S591" s="16"/>
      <c r="T591" s="16"/>
      <c r="U591" s="16"/>
      <c r="V591" s="19">
        <f t="shared" si="164"/>
        <v>17917119.400000002</v>
      </c>
      <c r="W591" s="20" t="s">
        <v>1175</v>
      </c>
      <c r="X591" s="37">
        <v>0</v>
      </c>
      <c r="Y591" s="37">
        <v>0</v>
      </c>
      <c r="Z591" s="79">
        <v>0</v>
      </c>
      <c r="AA591" s="19">
        <f t="shared" si="165"/>
        <v>17917119.400000002</v>
      </c>
    </row>
    <row r="592" spans="1:27" s="12" customFormat="1" ht="93.75" customHeight="1" x14ac:dyDescent="0.25">
      <c r="A592" s="17">
        <f>IF(OR(D592=0,D592=""),"",COUNTA($D$535:D592))</f>
        <v>43</v>
      </c>
      <c r="B592" s="17" t="s">
        <v>838</v>
      </c>
      <c r="C592" s="90" t="s">
        <v>120</v>
      </c>
      <c r="D592" s="43">
        <v>1968</v>
      </c>
      <c r="E592" s="16">
        <v>5736.7</v>
      </c>
      <c r="F592" s="16">
        <v>4410.1000000000004</v>
      </c>
      <c r="G592" s="16">
        <v>0</v>
      </c>
      <c r="H592" s="17" t="s">
        <v>257</v>
      </c>
      <c r="I592" s="15"/>
      <c r="J592" s="16"/>
      <c r="K592" s="16"/>
      <c r="L592" s="16"/>
      <c r="M592" s="18"/>
      <c r="N592" s="16"/>
      <c r="O592" s="16"/>
      <c r="P592" s="16"/>
      <c r="Q592" s="16"/>
      <c r="R592" s="16"/>
      <c r="S592" s="16">
        <f>E592*102</f>
        <v>585143.4</v>
      </c>
      <c r="T592" s="16"/>
      <c r="U592" s="16"/>
      <c r="V592" s="19">
        <f t="shared" si="164"/>
        <v>585143.4</v>
      </c>
      <c r="W592" s="20" t="s">
        <v>1175</v>
      </c>
      <c r="X592" s="37">
        <v>0</v>
      </c>
      <c r="Y592" s="37">
        <v>0</v>
      </c>
      <c r="Z592" s="79">
        <v>0</v>
      </c>
      <c r="AA592" s="19">
        <f t="shared" si="165"/>
        <v>585143.4</v>
      </c>
    </row>
    <row r="593" spans="1:27" s="12" customFormat="1" ht="93.75" customHeight="1" x14ac:dyDescent="0.25">
      <c r="A593" s="17">
        <f>IF(OR(D593=0,D593=""),"",COUNTA($D$535:D593))</f>
        <v>44</v>
      </c>
      <c r="B593" s="17" t="s">
        <v>796</v>
      </c>
      <c r="C593" s="90" t="s">
        <v>528</v>
      </c>
      <c r="D593" s="43">
        <v>1976</v>
      </c>
      <c r="E593" s="16">
        <v>3790.7</v>
      </c>
      <c r="F593" s="16">
        <v>2766.1</v>
      </c>
      <c r="G593" s="16">
        <v>0</v>
      </c>
      <c r="H593" s="17" t="s">
        <v>257</v>
      </c>
      <c r="I593" s="15"/>
      <c r="J593" s="16"/>
      <c r="K593" s="16"/>
      <c r="L593" s="16"/>
      <c r="M593" s="18"/>
      <c r="N593" s="16"/>
      <c r="O593" s="16"/>
      <c r="P593" s="16">
        <f>2308*E593</f>
        <v>8748935.5999999996</v>
      </c>
      <c r="Q593" s="16"/>
      <c r="R593" s="16"/>
      <c r="S593" s="16"/>
      <c r="T593" s="16"/>
      <c r="U593" s="16"/>
      <c r="V593" s="19">
        <f t="shared" si="164"/>
        <v>8748935.5999999996</v>
      </c>
      <c r="W593" s="20" t="s">
        <v>1175</v>
      </c>
      <c r="X593" s="37">
        <v>0</v>
      </c>
      <c r="Y593" s="37">
        <v>0</v>
      </c>
      <c r="Z593" s="79">
        <v>0</v>
      </c>
      <c r="AA593" s="19">
        <f t="shared" si="165"/>
        <v>8748935.5999999996</v>
      </c>
    </row>
    <row r="594" spans="1:27" s="12" customFormat="1" ht="93.75" customHeight="1" x14ac:dyDescent="0.25">
      <c r="A594" s="17">
        <f>IF(OR(D594=0,D594=""),"",COUNTA($D$535:D594))</f>
        <v>45</v>
      </c>
      <c r="B594" s="17" t="s">
        <v>863</v>
      </c>
      <c r="C594" s="90" t="s">
        <v>140</v>
      </c>
      <c r="D594" s="43">
        <v>1966</v>
      </c>
      <c r="E594" s="16">
        <v>2482.1</v>
      </c>
      <c r="F594" s="16">
        <v>1619</v>
      </c>
      <c r="G594" s="16">
        <v>0</v>
      </c>
      <c r="H594" s="17" t="s">
        <v>257</v>
      </c>
      <c r="I594" s="15"/>
      <c r="J594" s="16"/>
      <c r="K594" s="16">
        <f>1207*E594</f>
        <v>2995894.6999999997</v>
      </c>
      <c r="L594" s="16"/>
      <c r="M594" s="16">
        <f>855*E594</f>
        <v>2122195.5</v>
      </c>
      <c r="N594" s="16"/>
      <c r="O594" s="16"/>
      <c r="P594" s="16"/>
      <c r="Q594" s="16"/>
      <c r="R594" s="16"/>
      <c r="S594" s="16"/>
      <c r="T594" s="16"/>
      <c r="U594" s="16"/>
      <c r="V594" s="19">
        <f t="shared" si="164"/>
        <v>5118090.1999999993</v>
      </c>
      <c r="W594" s="20" t="s">
        <v>1175</v>
      </c>
      <c r="X594" s="37">
        <v>0</v>
      </c>
      <c r="Y594" s="37">
        <v>0</v>
      </c>
      <c r="Z594" s="79">
        <v>0</v>
      </c>
      <c r="AA594" s="19">
        <f t="shared" si="165"/>
        <v>5118090.1999999993</v>
      </c>
    </row>
    <row r="595" spans="1:27" s="12" customFormat="1" ht="93.75" customHeight="1" x14ac:dyDescent="0.25">
      <c r="A595" s="17">
        <f>IF(OR(D595=0,D595=""),"",COUNTA($D$535:D595))</f>
        <v>46</v>
      </c>
      <c r="B595" s="17" t="s">
        <v>895</v>
      </c>
      <c r="C595" s="90" t="s">
        <v>529</v>
      </c>
      <c r="D595" s="43">
        <v>1975</v>
      </c>
      <c r="E595" s="16">
        <v>3988.6</v>
      </c>
      <c r="F595" s="16">
        <v>2662.6</v>
      </c>
      <c r="G595" s="16">
        <v>300.2</v>
      </c>
      <c r="H595" s="17" t="s">
        <v>257</v>
      </c>
      <c r="I595" s="15"/>
      <c r="J595" s="16"/>
      <c r="K595" s="16"/>
      <c r="L595" s="16"/>
      <c r="M595" s="16">
        <f>855*E595</f>
        <v>3410253</v>
      </c>
      <c r="N595" s="16"/>
      <c r="O595" s="16"/>
      <c r="P595" s="16"/>
      <c r="Q595" s="16"/>
      <c r="R595" s="16"/>
      <c r="S595" s="16"/>
      <c r="T595" s="16"/>
      <c r="U595" s="16"/>
      <c r="V595" s="19">
        <f t="shared" si="164"/>
        <v>3410253</v>
      </c>
      <c r="W595" s="20" t="s">
        <v>1175</v>
      </c>
      <c r="X595" s="37">
        <v>0</v>
      </c>
      <c r="Y595" s="37">
        <v>0</v>
      </c>
      <c r="Z595" s="79">
        <v>0</v>
      </c>
      <c r="AA595" s="19">
        <f t="shared" si="165"/>
        <v>3410253</v>
      </c>
    </row>
    <row r="596" spans="1:27" s="12" customFormat="1" ht="93.75" customHeight="1" x14ac:dyDescent="0.25">
      <c r="A596" s="17">
        <f>IF(OR(D596=0,D596=""),"",COUNTA($D$535:D596))</f>
        <v>47</v>
      </c>
      <c r="B596" s="17" t="s">
        <v>758</v>
      </c>
      <c r="C596" s="90" t="s">
        <v>530</v>
      </c>
      <c r="D596" s="43">
        <v>1969</v>
      </c>
      <c r="E596" s="16">
        <v>3256</v>
      </c>
      <c r="F596" s="16">
        <v>2043.6</v>
      </c>
      <c r="G596" s="16">
        <v>137.5</v>
      </c>
      <c r="H596" s="17" t="s">
        <v>255</v>
      </c>
      <c r="I596" s="15"/>
      <c r="J596" s="16"/>
      <c r="K596" s="16"/>
      <c r="L596" s="16"/>
      <c r="M596" s="18"/>
      <c r="N596" s="16"/>
      <c r="O596" s="16"/>
      <c r="P596" s="16">
        <f>E596*845</f>
        <v>2751320</v>
      </c>
      <c r="Q596" s="16"/>
      <c r="R596" s="16"/>
      <c r="S596" s="16"/>
      <c r="T596" s="16"/>
      <c r="U596" s="16"/>
      <c r="V596" s="19">
        <f t="shared" si="164"/>
        <v>2751320</v>
      </c>
      <c r="W596" s="20" t="s">
        <v>1175</v>
      </c>
      <c r="X596" s="37">
        <v>0</v>
      </c>
      <c r="Y596" s="37">
        <v>0</v>
      </c>
      <c r="Z596" s="79">
        <v>0</v>
      </c>
      <c r="AA596" s="19">
        <f t="shared" si="165"/>
        <v>2751320</v>
      </c>
    </row>
    <row r="597" spans="1:27" s="12" customFormat="1" ht="93.75" customHeight="1" x14ac:dyDescent="0.25">
      <c r="A597" s="17">
        <f>IF(OR(D597=0,D597=""),"",COUNTA($D$535:D597))</f>
        <v>48</v>
      </c>
      <c r="B597" s="17" t="s">
        <v>951</v>
      </c>
      <c r="C597" s="90" t="s">
        <v>531</v>
      </c>
      <c r="D597" s="43">
        <v>1958</v>
      </c>
      <c r="E597" s="16">
        <v>720.8</v>
      </c>
      <c r="F597" s="16">
        <v>600.79999999999995</v>
      </c>
      <c r="G597" s="16">
        <v>0</v>
      </c>
      <c r="H597" s="17" t="s">
        <v>250</v>
      </c>
      <c r="I597" s="15"/>
      <c r="J597" s="16"/>
      <c r="K597" s="16"/>
      <c r="L597" s="16"/>
      <c r="M597" s="18"/>
      <c r="N597" s="16"/>
      <c r="O597" s="16"/>
      <c r="P597" s="16">
        <f>E597*3961</f>
        <v>2855088.8</v>
      </c>
      <c r="Q597" s="16"/>
      <c r="R597" s="16"/>
      <c r="S597" s="16"/>
      <c r="T597" s="16"/>
      <c r="U597" s="16"/>
      <c r="V597" s="19">
        <f t="shared" si="164"/>
        <v>2855088.8</v>
      </c>
      <c r="W597" s="20" t="s">
        <v>1175</v>
      </c>
      <c r="X597" s="37">
        <v>0</v>
      </c>
      <c r="Y597" s="37">
        <v>0</v>
      </c>
      <c r="Z597" s="79">
        <v>0</v>
      </c>
      <c r="AA597" s="19">
        <f t="shared" si="165"/>
        <v>2855088.8</v>
      </c>
    </row>
    <row r="598" spans="1:27" s="12" customFormat="1" ht="93.75" customHeight="1" x14ac:dyDescent="0.25">
      <c r="A598" s="17">
        <f>IF(OR(D598=0,D598=""),"",COUNTA($D$535:D598))</f>
        <v>49</v>
      </c>
      <c r="B598" s="17" t="s">
        <v>774</v>
      </c>
      <c r="C598" s="90" t="s">
        <v>532</v>
      </c>
      <c r="D598" s="43">
        <v>1971</v>
      </c>
      <c r="E598" s="16">
        <v>4156.3999999999996</v>
      </c>
      <c r="F598" s="16">
        <v>3059.4</v>
      </c>
      <c r="G598" s="16">
        <v>0</v>
      </c>
      <c r="H598" s="17" t="s">
        <v>257</v>
      </c>
      <c r="I598" s="15"/>
      <c r="J598" s="16"/>
      <c r="K598" s="16"/>
      <c r="L598" s="16"/>
      <c r="M598" s="16">
        <f>855*E598</f>
        <v>3553721.9999999995</v>
      </c>
      <c r="N598" s="16"/>
      <c r="O598" s="16"/>
      <c r="P598" s="16"/>
      <c r="Q598" s="16"/>
      <c r="R598" s="16"/>
      <c r="S598" s="16"/>
      <c r="T598" s="16"/>
      <c r="U598" s="16"/>
      <c r="V598" s="19">
        <f t="shared" ref="V598" si="170">J598+K598+L598+M598+N598+O598+P598+Q598+R598+S598+T598+U598</f>
        <v>3553721.9999999995</v>
      </c>
      <c r="W598" s="20" t="s">
        <v>1175</v>
      </c>
      <c r="X598" s="37">
        <v>0</v>
      </c>
      <c r="Y598" s="37">
        <v>0</v>
      </c>
      <c r="Z598" s="79">
        <v>0</v>
      </c>
      <c r="AA598" s="19">
        <f t="shared" ref="AA598" si="171">V598-(X598+Y598+Z598)</f>
        <v>3553721.9999999995</v>
      </c>
    </row>
    <row r="599" spans="1:27" s="12" customFormat="1" ht="93.75" customHeight="1" x14ac:dyDescent="0.25">
      <c r="A599" s="17">
        <f>IF(OR(D599=0,D599=""),"",COUNTA($D$535:D599))</f>
        <v>50</v>
      </c>
      <c r="B599" s="17" t="s">
        <v>780</v>
      </c>
      <c r="C599" s="90" t="s">
        <v>533</v>
      </c>
      <c r="D599" s="43">
        <v>1990</v>
      </c>
      <c r="E599" s="16">
        <v>5256.24</v>
      </c>
      <c r="F599" s="16">
        <v>2261</v>
      </c>
      <c r="G599" s="16">
        <v>769</v>
      </c>
      <c r="H599" s="17" t="s">
        <v>255</v>
      </c>
      <c r="I599" s="15"/>
      <c r="J599" s="16"/>
      <c r="K599" s="16"/>
      <c r="L599" s="16"/>
      <c r="M599" s="16">
        <f>E599*212</f>
        <v>1114322.8799999999</v>
      </c>
      <c r="N599" s="16"/>
      <c r="O599" s="16"/>
      <c r="P599" s="16"/>
      <c r="Q599" s="16"/>
      <c r="R599" s="16"/>
      <c r="S599" s="16"/>
      <c r="T599" s="16"/>
      <c r="U599" s="16"/>
      <c r="V599" s="19">
        <f t="shared" si="164"/>
        <v>1114322.8799999999</v>
      </c>
      <c r="W599" s="20" t="s">
        <v>1175</v>
      </c>
      <c r="X599" s="37">
        <v>0</v>
      </c>
      <c r="Y599" s="37">
        <v>0</v>
      </c>
      <c r="Z599" s="79">
        <v>0</v>
      </c>
      <c r="AA599" s="19">
        <f t="shared" si="165"/>
        <v>1114322.8799999999</v>
      </c>
    </row>
    <row r="600" spans="1:27" s="12" customFormat="1" ht="93.75" customHeight="1" x14ac:dyDescent="0.25">
      <c r="A600" s="17">
        <f>IF(OR(D600=0,D600=""),"",COUNTA($D$535:D600))</f>
        <v>51</v>
      </c>
      <c r="B600" s="17" t="s">
        <v>910</v>
      </c>
      <c r="C600" s="90" t="s">
        <v>534</v>
      </c>
      <c r="D600" s="43">
        <v>1971</v>
      </c>
      <c r="E600" s="16">
        <v>3262.61</v>
      </c>
      <c r="F600" s="16">
        <v>2345.11</v>
      </c>
      <c r="G600" s="16">
        <v>0</v>
      </c>
      <c r="H600" s="17" t="s">
        <v>255</v>
      </c>
      <c r="I600" s="15"/>
      <c r="J600" s="16"/>
      <c r="K600" s="16"/>
      <c r="L600" s="16"/>
      <c r="M600" s="16">
        <f>E600*212</f>
        <v>691673.32000000007</v>
      </c>
      <c r="N600" s="16"/>
      <c r="O600" s="16"/>
      <c r="P600" s="16"/>
      <c r="Q600" s="16"/>
      <c r="R600" s="16"/>
      <c r="S600" s="16"/>
      <c r="T600" s="16"/>
      <c r="U600" s="16"/>
      <c r="V600" s="19">
        <f t="shared" ref="V600" si="172">J600+K600+L600+M600+N600+O600+P600+Q600+R600+S600+T600+U600</f>
        <v>691673.32000000007</v>
      </c>
      <c r="W600" s="20" t="s">
        <v>1175</v>
      </c>
      <c r="X600" s="37">
        <v>0</v>
      </c>
      <c r="Y600" s="37">
        <v>0</v>
      </c>
      <c r="Z600" s="79">
        <v>0</v>
      </c>
      <c r="AA600" s="19">
        <f t="shared" ref="AA600" si="173">V600-(X600+Y600+Z600)</f>
        <v>691673.32000000007</v>
      </c>
    </row>
    <row r="601" spans="1:27" s="12" customFormat="1" ht="93.75" customHeight="1" x14ac:dyDescent="0.25">
      <c r="A601" s="17">
        <f>IF(OR(D601=0,D601=""),"",COUNTA($D$535:D601))</f>
        <v>52</v>
      </c>
      <c r="B601" s="17" t="s">
        <v>736</v>
      </c>
      <c r="C601" s="90" t="s">
        <v>545</v>
      </c>
      <c r="D601" s="43">
        <v>1996</v>
      </c>
      <c r="E601" s="16">
        <v>8514.7999999999993</v>
      </c>
      <c r="F601" s="16">
        <v>6017.8</v>
      </c>
      <c r="G601" s="16">
        <v>0</v>
      </c>
      <c r="H601" s="17" t="s">
        <v>255</v>
      </c>
      <c r="I601" s="15"/>
      <c r="J601" s="16"/>
      <c r="K601" s="16"/>
      <c r="L601" s="16"/>
      <c r="M601" s="18"/>
      <c r="N601" s="16"/>
      <c r="O601" s="16"/>
      <c r="P601" s="16">
        <f>E601*845</f>
        <v>7195005.9999999991</v>
      </c>
      <c r="Q601" s="16"/>
      <c r="R601" s="16"/>
      <c r="S601" s="16"/>
      <c r="T601" s="16"/>
      <c r="U601" s="16"/>
      <c r="V601" s="19">
        <f t="shared" si="164"/>
        <v>7195005.9999999991</v>
      </c>
      <c r="W601" s="20" t="s">
        <v>1175</v>
      </c>
      <c r="X601" s="37">
        <v>0</v>
      </c>
      <c r="Y601" s="37">
        <v>0</v>
      </c>
      <c r="Z601" s="79">
        <v>0</v>
      </c>
      <c r="AA601" s="19">
        <f t="shared" si="165"/>
        <v>7195005.9999999991</v>
      </c>
    </row>
    <row r="602" spans="1:27" s="12" customFormat="1" ht="93.75" customHeight="1" x14ac:dyDescent="0.25">
      <c r="A602" s="17">
        <f>IF(OR(D602=0,D602=""),"",COUNTA($D$535:D602))</f>
        <v>53</v>
      </c>
      <c r="B602" s="17" t="s">
        <v>745</v>
      </c>
      <c r="C602" s="90" t="s">
        <v>606</v>
      </c>
      <c r="D602" s="43">
        <v>1986</v>
      </c>
      <c r="E602" s="16">
        <v>13622.8</v>
      </c>
      <c r="F602" s="16">
        <v>7485.7</v>
      </c>
      <c r="G602" s="16">
        <v>0</v>
      </c>
      <c r="H602" s="17" t="s">
        <v>255</v>
      </c>
      <c r="I602" s="15"/>
      <c r="J602" s="16"/>
      <c r="K602" s="16"/>
      <c r="L602" s="16"/>
      <c r="M602" s="18"/>
      <c r="N602" s="16"/>
      <c r="O602" s="16"/>
      <c r="P602" s="16">
        <f>E602*845</f>
        <v>11511266</v>
      </c>
      <c r="Q602" s="16"/>
      <c r="R602" s="16"/>
      <c r="S602" s="16"/>
      <c r="T602" s="16"/>
      <c r="U602" s="16"/>
      <c r="V602" s="19">
        <f t="shared" si="164"/>
        <v>11511266</v>
      </c>
      <c r="W602" s="20" t="s">
        <v>1175</v>
      </c>
      <c r="X602" s="37">
        <v>0</v>
      </c>
      <c r="Y602" s="37">
        <v>0</v>
      </c>
      <c r="Z602" s="79">
        <v>0</v>
      </c>
      <c r="AA602" s="19">
        <f t="shared" si="165"/>
        <v>11511266</v>
      </c>
    </row>
    <row r="603" spans="1:27" s="12" customFormat="1" ht="93.75" customHeight="1" x14ac:dyDescent="0.25">
      <c r="A603" s="17">
        <f>IF(OR(D603=0,D603=""),"",COUNTA($D$535:D603))</f>
        <v>54</v>
      </c>
      <c r="B603" s="17" t="s">
        <v>759</v>
      </c>
      <c r="C603" s="90" t="s">
        <v>546</v>
      </c>
      <c r="D603" s="43">
        <v>1972</v>
      </c>
      <c r="E603" s="16">
        <v>6773.4</v>
      </c>
      <c r="F603" s="16">
        <v>5838.5</v>
      </c>
      <c r="G603" s="16">
        <v>110.1</v>
      </c>
      <c r="H603" s="17" t="s">
        <v>257</v>
      </c>
      <c r="I603" s="15"/>
      <c r="J603" s="16"/>
      <c r="K603" s="16"/>
      <c r="L603" s="16"/>
      <c r="M603" s="18"/>
      <c r="N603" s="16"/>
      <c r="O603" s="16"/>
      <c r="P603" s="16">
        <f>2308*E603</f>
        <v>15633007.199999999</v>
      </c>
      <c r="Q603" s="16"/>
      <c r="R603" s="16"/>
      <c r="S603" s="16"/>
      <c r="T603" s="16"/>
      <c r="U603" s="16"/>
      <c r="V603" s="19">
        <f t="shared" si="164"/>
        <v>15633007.199999999</v>
      </c>
      <c r="W603" s="20" t="s">
        <v>1175</v>
      </c>
      <c r="X603" s="37">
        <v>0</v>
      </c>
      <c r="Y603" s="37">
        <v>0</v>
      </c>
      <c r="Z603" s="79">
        <v>0</v>
      </c>
      <c r="AA603" s="19">
        <f t="shared" si="165"/>
        <v>15633007.199999999</v>
      </c>
    </row>
    <row r="604" spans="1:27" s="12" customFormat="1" ht="93.75" customHeight="1" x14ac:dyDescent="0.25">
      <c r="A604" s="17">
        <f>IF(OR(D604=0,D604=""),"",COUNTA($D$535:D604))</f>
        <v>55</v>
      </c>
      <c r="B604" s="17" t="s">
        <v>816</v>
      </c>
      <c r="C604" s="90" t="s">
        <v>547</v>
      </c>
      <c r="D604" s="43">
        <v>1975</v>
      </c>
      <c r="E604" s="16">
        <v>5185.1000000000004</v>
      </c>
      <c r="F604" s="16">
        <v>3898</v>
      </c>
      <c r="G604" s="16">
        <v>0</v>
      </c>
      <c r="H604" s="17" t="s">
        <v>257</v>
      </c>
      <c r="I604" s="15"/>
      <c r="J604" s="16"/>
      <c r="K604" s="16"/>
      <c r="L604" s="16"/>
      <c r="M604" s="18"/>
      <c r="N604" s="16"/>
      <c r="O604" s="16"/>
      <c r="P604" s="16">
        <f>2308*E604</f>
        <v>11967210.800000001</v>
      </c>
      <c r="Q604" s="16"/>
      <c r="R604" s="16"/>
      <c r="S604" s="16"/>
      <c r="T604" s="16"/>
      <c r="U604" s="16"/>
      <c r="V604" s="19">
        <f t="shared" si="164"/>
        <v>11967210.800000001</v>
      </c>
      <c r="W604" s="20" t="s">
        <v>1175</v>
      </c>
      <c r="X604" s="37">
        <v>0</v>
      </c>
      <c r="Y604" s="37">
        <v>0</v>
      </c>
      <c r="Z604" s="79">
        <v>0</v>
      </c>
      <c r="AA604" s="19">
        <f t="shared" si="165"/>
        <v>11967210.800000001</v>
      </c>
    </row>
    <row r="605" spans="1:27" s="12" customFormat="1" ht="93.75" customHeight="1" x14ac:dyDescent="0.25">
      <c r="A605" s="17">
        <f>IF(OR(D605=0,D605=""),"",COUNTA($D$535:D605))</f>
        <v>56</v>
      </c>
      <c r="B605" s="17" t="s">
        <v>876</v>
      </c>
      <c r="C605" s="90" t="s">
        <v>548</v>
      </c>
      <c r="D605" s="43">
        <v>1974</v>
      </c>
      <c r="E605" s="16">
        <v>5862.8</v>
      </c>
      <c r="F605" s="16">
        <v>4431.5</v>
      </c>
      <c r="G605" s="16">
        <v>0</v>
      </c>
      <c r="H605" s="17" t="s">
        <v>257</v>
      </c>
      <c r="I605" s="15"/>
      <c r="J605" s="16"/>
      <c r="K605" s="16"/>
      <c r="L605" s="16"/>
      <c r="M605" s="18"/>
      <c r="N605" s="16"/>
      <c r="O605" s="16"/>
      <c r="P605" s="16">
        <f>2308*E605</f>
        <v>13531342.4</v>
      </c>
      <c r="Q605" s="16"/>
      <c r="R605" s="16"/>
      <c r="S605" s="16"/>
      <c r="T605" s="16"/>
      <c r="U605" s="16"/>
      <c r="V605" s="19">
        <f t="shared" si="164"/>
        <v>13531342.4</v>
      </c>
      <c r="W605" s="20" t="s">
        <v>1175</v>
      </c>
      <c r="X605" s="37">
        <v>0</v>
      </c>
      <c r="Y605" s="37">
        <v>0</v>
      </c>
      <c r="Z605" s="79">
        <v>0</v>
      </c>
      <c r="AA605" s="19">
        <f t="shared" si="165"/>
        <v>13531342.4</v>
      </c>
    </row>
    <row r="606" spans="1:27" s="12" customFormat="1" ht="93.75" customHeight="1" x14ac:dyDescent="0.25">
      <c r="A606" s="17">
        <f>IF(OR(D606=0,D606=""),"",COUNTA($D$535:D606))</f>
        <v>57</v>
      </c>
      <c r="B606" s="17" t="s">
        <v>880</v>
      </c>
      <c r="C606" s="90" t="s">
        <v>549</v>
      </c>
      <c r="D606" s="43">
        <v>1975</v>
      </c>
      <c r="E606" s="16">
        <v>2433.8000000000002</v>
      </c>
      <c r="F606" s="16">
        <v>1773.3</v>
      </c>
      <c r="G606" s="16">
        <v>22.6</v>
      </c>
      <c r="H606" s="17" t="s">
        <v>257</v>
      </c>
      <c r="I606" s="15"/>
      <c r="J606" s="16"/>
      <c r="K606" s="16"/>
      <c r="L606" s="16"/>
      <c r="M606" s="18"/>
      <c r="N606" s="16"/>
      <c r="O606" s="16"/>
      <c r="P606" s="16">
        <f>2308*E606</f>
        <v>5617210.4000000004</v>
      </c>
      <c r="Q606" s="16"/>
      <c r="R606" s="16"/>
      <c r="S606" s="16"/>
      <c r="T606" s="16"/>
      <c r="U606" s="16"/>
      <c r="V606" s="19">
        <f t="shared" si="164"/>
        <v>5617210.4000000004</v>
      </c>
      <c r="W606" s="20" t="s">
        <v>1175</v>
      </c>
      <c r="X606" s="37">
        <v>0</v>
      </c>
      <c r="Y606" s="37">
        <v>0</v>
      </c>
      <c r="Z606" s="79">
        <v>0</v>
      </c>
      <c r="AA606" s="19">
        <f t="shared" si="165"/>
        <v>5617210.4000000004</v>
      </c>
    </row>
    <row r="607" spans="1:27" s="12" customFormat="1" ht="93.75" customHeight="1" x14ac:dyDescent="0.25">
      <c r="A607" s="17">
        <f>IF(OR(D607=0,D607=""),"",COUNTA($D$535:D607))</f>
        <v>58</v>
      </c>
      <c r="B607" s="17" t="s">
        <v>914</v>
      </c>
      <c r="C607" s="90" t="s">
        <v>550</v>
      </c>
      <c r="D607" s="43">
        <v>1971</v>
      </c>
      <c r="E607" s="16">
        <v>3582</v>
      </c>
      <c r="F607" s="16">
        <v>2709.2</v>
      </c>
      <c r="G607" s="16">
        <v>0</v>
      </c>
      <c r="H607" s="17" t="s">
        <v>257</v>
      </c>
      <c r="I607" s="15"/>
      <c r="J607" s="16"/>
      <c r="K607" s="16"/>
      <c r="L607" s="16"/>
      <c r="M607" s="18"/>
      <c r="N607" s="16"/>
      <c r="O607" s="16"/>
      <c r="P607" s="16">
        <f>2308*E607</f>
        <v>8267256</v>
      </c>
      <c r="Q607" s="16"/>
      <c r="R607" s="16"/>
      <c r="S607" s="16"/>
      <c r="T607" s="16"/>
      <c r="U607" s="16"/>
      <c r="V607" s="19">
        <f t="shared" si="164"/>
        <v>8267256</v>
      </c>
      <c r="W607" s="20" t="s">
        <v>1175</v>
      </c>
      <c r="X607" s="37">
        <v>0</v>
      </c>
      <c r="Y607" s="37">
        <v>0</v>
      </c>
      <c r="Z607" s="79">
        <v>0</v>
      </c>
      <c r="AA607" s="19">
        <f t="shared" si="165"/>
        <v>8267256</v>
      </c>
    </row>
    <row r="608" spans="1:27" s="12" customFormat="1" ht="93.75" customHeight="1" x14ac:dyDescent="0.25">
      <c r="A608" s="17">
        <f>IF(OR(D608=0,D608=""),"",COUNTA($D$535:D608))</f>
        <v>59</v>
      </c>
      <c r="B608" s="17" t="s">
        <v>931</v>
      </c>
      <c r="C608" s="90" t="s">
        <v>347</v>
      </c>
      <c r="D608" s="43">
        <v>1981</v>
      </c>
      <c r="E608" s="16">
        <v>3892.8</v>
      </c>
      <c r="F608" s="16">
        <v>2812.9</v>
      </c>
      <c r="G608" s="16">
        <v>0</v>
      </c>
      <c r="H608" s="17" t="s">
        <v>257</v>
      </c>
      <c r="I608" s="15"/>
      <c r="J608" s="16">
        <f>406*E608</f>
        <v>1580476.8</v>
      </c>
      <c r="K608" s="16"/>
      <c r="L608" s="16"/>
      <c r="M608" s="18"/>
      <c r="N608" s="16"/>
      <c r="O608" s="16"/>
      <c r="P608" s="16"/>
      <c r="Q608" s="16"/>
      <c r="R608" s="16"/>
      <c r="S608" s="16"/>
      <c r="T608" s="16"/>
      <c r="U608" s="16"/>
      <c r="V608" s="19">
        <f t="shared" si="164"/>
        <v>1580476.8</v>
      </c>
      <c r="W608" s="20" t="s">
        <v>1175</v>
      </c>
      <c r="X608" s="37">
        <v>0</v>
      </c>
      <c r="Y608" s="37">
        <v>0</v>
      </c>
      <c r="Z608" s="79">
        <v>0</v>
      </c>
      <c r="AA608" s="19">
        <f t="shared" si="165"/>
        <v>1580476.8</v>
      </c>
    </row>
    <row r="609" spans="1:27" s="12" customFormat="1" ht="93.75" customHeight="1" x14ac:dyDescent="0.25">
      <c r="A609" s="17">
        <f>IF(OR(D609=0,D609=""),"",COUNTA($D$535:D609))</f>
        <v>60</v>
      </c>
      <c r="B609" s="17" t="s">
        <v>933</v>
      </c>
      <c r="C609" s="90" t="s">
        <v>551</v>
      </c>
      <c r="D609" s="43">
        <v>1983</v>
      </c>
      <c r="E609" s="16">
        <v>3895.16</v>
      </c>
      <c r="F609" s="16">
        <v>2798.46</v>
      </c>
      <c r="G609" s="16">
        <v>0</v>
      </c>
      <c r="H609" s="17" t="s">
        <v>257</v>
      </c>
      <c r="I609" s="15"/>
      <c r="J609" s="16"/>
      <c r="K609" s="16"/>
      <c r="L609" s="16"/>
      <c r="M609" s="18"/>
      <c r="N609" s="16"/>
      <c r="O609" s="16"/>
      <c r="P609" s="16">
        <f>2308*E609</f>
        <v>8990029.2799999993</v>
      </c>
      <c r="Q609" s="16"/>
      <c r="R609" s="16"/>
      <c r="S609" s="16"/>
      <c r="T609" s="16"/>
      <c r="U609" s="16"/>
      <c r="V609" s="19">
        <f t="shared" si="164"/>
        <v>8990029.2799999993</v>
      </c>
      <c r="W609" s="20" t="s">
        <v>1175</v>
      </c>
      <c r="X609" s="37">
        <v>0</v>
      </c>
      <c r="Y609" s="37">
        <v>0</v>
      </c>
      <c r="Z609" s="79">
        <v>0</v>
      </c>
      <c r="AA609" s="19">
        <f t="shared" si="165"/>
        <v>8990029.2799999993</v>
      </c>
    </row>
    <row r="610" spans="1:27" s="12" customFormat="1" ht="93.75" customHeight="1" x14ac:dyDescent="0.25">
      <c r="A610" s="17">
        <f>IF(OR(D610=0,D610=""),"",COUNTA($D$535:D610))</f>
        <v>61</v>
      </c>
      <c r="B610" s="17" t="s">
        <v>937</v>
      </c>
      <c r="C610" s="90" t="s">
        <v>552</v>
      </c>
      <c r="D610" s="43">
        <v>1993</v>
      </c>
      <c r="E610" s="16">
        <v>3285.7</v>
      </c>
      <c r="F610" s="16">
        <v>2102</v>
      </c>
      <c r="G610" s="16">
        <v>293.39999999999998</v>
      </c>
      <c r="H610" s="17" t="s">
        <v>257</v>
      </c>
      <c r="I610" s="15"/>
      <c r="J610" s="16"/>
      <c r="K610" s="16"/>
      <c r="L610" s="16"/>
      <c r="M610" s="18"/>
      <c r="N610" s="16"/>
      <c r="O610" s="16"/>
      <c r="P610" s="16">
        <f>2308*E610</f>
        <v>7583395.5999999996</v>
      </c>
      <c r="Q610" s="16"/>
      <c r="R610" s="16"/>
      <c r="S610" s="16"/>
      <c r="T610" s="16"/>
      <c r="U610" s="16"/>
      <c r="V610" s="19">
        <f t="shared" si="164"/>
        <v>7583395.5999999996</v>
      </c>
      <c r="W610" s="20" t="s">
        <v>1175</v>
      </c>
      <c r="X610" s="37">
        <v>0</v>
      </c>
      <c r="Y610" s="37">
        <v>0</v>
      </c>
      <c r="Z610" s="79">
        <v>0</v>
      </c>
      <c r="AA610" s="19">
        <f t="shared" si="165"/>
        <v>7583395.5999999996</v>
      </c>
    </row>
    <row r="611" spans="1:27" s="12" customFormat="1" ht="93.75" customHeight="1" x14ac:dyDescent="0.25">
      <c r="A611" s="17">
        <f>IF(OR(D611=0,D611=""),"",COUNTA($D$535:D611))</f>
        <v>62</v>
      </c>
      <c r="B611" s="17" t="s">
        <v>962</v>
      </c>
      <c r="C611" s="90" t="s">
        <v>553</v>
      </c>
      <c r="D611" s="43">
        <v>1985</v>
      </c>
      <c r="E611" s="15">
        <v>5749.9</v>
      </c>
      <c r="F611" s="16">
        <v>3497</v>
      </c>
      <c r="G611" s="16">
        <v>0</v>
      </c>
      <c r="H611" s="17" t="s">
        <v>257</v>
      </c>
      <c r="I611" s="15"/>
      <c r="J611" s="16"/>
      <c r="K611" s="16"/>
      <c r="L611" s="16"/>
      <c r="M611" s="18"/>
      <c r="N611" s="16"/>
      <c r="O611" s="16"/>
      <c r="P611" s="16">
        <f>2308*E611</f>
        <v>13270769.199999999</v>
      </c>
      <c r="Q611" s="16"/>
      <c r="R611" s="16"/>
      <c r="S611" s="16"/>
      <c r="T611" s="16"/>
      <c r="U611" s="16"/>
      <c r="V611" s="19">
        <f t="shared" si="164"/>
        <v>13270769.199999999</v>
      </c>
      <c r="W611" s="20" t="s">
        <v>1175</v>
      </c>
      <c r="X611" s="37">
        <v>0</v>
      </c>
      <c r="Y611" s="37">
        <v>0</v>
      </c>
      <c r="Z611" s="79">
        <v>0</v>
      </c>
      <c r="AA611" s="19">
        <f t="shared" si="165"/>
        <v>13270769.199999999</v>
      </c>
    </row>
    <row r="612" spans="1:27" s="12" customFormat="1" ht="93.75" customHeight="1" x14ac:dyDescent="0.25">
      <c r="A612" s="17">
        <f>IF(OR(D612=0,D612=""),"",COUNTA($D$535:D612))</f>
        <v>63</v>
      </c>
      <c r="B612" s="17" t="s">
        <v>1168</v>
      </c>
      <c r="C612" s="90" t="s">
        <v>554</v>
      </c>
      <c r="D612" s="43">
        <v>1979</v>
      </c>
      <c r="E612" s="16">
        <v>2261.9</v>
      </c>
      <c r="F612" s="16">
        <v>1959.8</v>
      </c>
      <c r="G612" s="16">
        <v>0</v>
      </c>
      <c r="H612" s="17" t="s">
        <v>255</v>
      </c>
      <c r="I612" s="15"/>
      <c r="J612" s="16">
        <f>E612*430</f>
        <v>972617</v>
      </c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9">
        <f t="shared" si="164"/>
        <v>972617</v>
      </c>
      <c r="W612" s="20" t="s">
        <v>1175</v>
      </c>
      <c r="X612" s="37">
        <v>0</v>
      </c>
      <c r="Y612" s="37">
        <v>0</v>
      </c>
      <c r="Z612" s="79">
        <v>0</v>
      </c>
      <c r="AA612" s="19">
        <f t="shared" si="165"/>
        <v>972617</v>
      </c>
    </row>
    <row r="613" spans="1:27" s="12" customFormat="1" ht="93.75" customHeight="1" x14ac:dyDescent="0.25">
      <c r="A613" s="17">
        <f>IF(OR(D613=0,D613=""),"",COUNTA($D$535:D613))</f>
        <v>64</v>
      </c>
      <c r="B613" s="17" t="s">
        <v>1021</v>
      </c>
      <c r="C613" s="90" t="s">
        <v>555</v>
      </c>
      <c r="D613" s="43">
        <v>1984</v>
      </c>
      <c r="E613" s="16">
        <v>10103.9</v>
      </c>
      <c r="F613" s="16">
        <v>7070.9</v>
      </c>
      <c r="G613" s="16">
        <v>0</v>
      </c>
      <c r="H613" s="17" t="s">
        <v>257</v>
      </c>
      <c r="I613" s="15"/>
      <c r="J613" s="16"/>
      <c r="K613" s="16"/>
      <c r="L613" s="16"/>
      <c r="M613" s="18"/>
      <c r="N613" s="16"/>
      <c r="O613" s="16"/>
      <c r="P613" s="16">
        <f>2308*E613</f>
        <v>23319801.199999999</v>
      </c>
      <c r="Q613" s="16"/>
      <c r="R613" s="16"/>
      <c r="S613" s="16"/>
      <c r="T613" s="16"/>
      <c r="U613" s="16"/>
      <c r="V613" s="19">
        <f t="shared" si="164"/>
        <v>23319801.199999999</v>
      </c>
      <c r="W613" s="20" t="s">
        <v>1175</v>
      </c>
      <c r="X613" s="37">
        <v>0</v>
      </c>
      <c r="Y613" s="37">
        <v>0</v>
      </c>
      <c r="Z613" s="79">
        <v>0</v>
      </c>
      <c r="AA613" s="19">
        <f t="shared" si="165"/>
        <v>23319801.199999999</v>
      </c>
    </row>
    <row r="614" spans="1:27" s="12" customFormat="1" ht="93.75" customHeight="1" x14ac:dyDescent="0.25">
      <c r="A614" s="17">
        <f>IF(OR(D614=0,D614=""),"",COUNTA($D$535:D614))</f>
        <v>65</v>
      </c>
      <c r="B614" s="17" t="s">
        <v>993</v>
      </c>
      <c r="C614" s="90" t="s">
        <v>564</v>
      </c>
      <c r="D614" s="43">
        <v>1969</v>
      </c>
      <c r="E614" s="16">
        <v>4515.1000000000004</v>
      </c>
      <c r="F614" s="16">
        <v>3293.4</v>
      </c>
      <c r="G614" s="16">
        <v>1011.9</v>
      </c>
      <c r="H614" s="17" t="s">
        <v>257</v>
      </c>
      <c r="I614" s="15"/>
      <c r="J614" s="16">
        <f>406*E614</f>
        <v>1833130.6</v>
      </c>
      <c r="K614" s="16"/>
      <c r="L614" s="16"/>
      <c r="M614" s="18"/>
      <c r="N614" s="16"/>
      <c r="O614" s="16"/>
      <c r="P614" s="16"/>
      <c r="Q614" s="16"/>
      <c r="R614" s="16"/>
      <c r="S614" s="16"/>
      <c r="T614" s="16"/>
      <c r="U614" s="16"/>
      <c r="V614" s="19">
        <f t="shared" ref="V614" si="174">J614+K614+L614+M614+N614+O614+P614+Q614+R614+S614+T614+U614</f>
        <v>1833130.6</v>
      </c>
      <c r="W614" s="20" t="s">
        <v>1175</v>
      </c>
      <c r="X614" s="37">
        <v>0</v>
      </c>
      <c r="Y614" s="37">
        <v>0</v>
      </c>
      <c r="Z614" s="79">
        <v>0</v>
      </c>
      <c r="AA614" s="19">
        <f t="shared" ref="AA614" si="175">V614-(X614+Y614+Z614)</f>
        <v>1833130.6</v>
      </c>
    </row>
    <row r="615" spans="1:27" s="12" customFormat="1" ht="93.75" customHeight="1" x14ac:dyDescent="0.25">
      <c r="A615" s="17">
        <f>IF(OR(D615=0,D615=""),"",COUNTA($D$535:D615))</f>
        <v>66</v>
      </c>
      <c r="B615" s="17" t="s">
        <v>871</v>
      </c>
      <c r="C615" s="90" t="s">
        <v>143</v>
      </c>
      <c r="D615" s="43">
        <v>1968</v>
      </c>
      <c r="E615" s="16">
        <v>3830.7</v>
      </c>
      <c r="F615" s="16">
        <v>2186.8000000000002</v>
      </c>
      <c r="G615" s="16">
        <v>1110.4000000000001</v>
      </c>
      <c r="H615" s="17" t="s">
        <v>255</v>
      </c>
      <c r="I615" s="15"/>
      <c r="J615" s="16"/>
      <c r="K615" s="16"/>
      <c r="L615" s="16"/>
      <c r="M615" s="18"/>
      <c r="N615" s="16"/>
      <c r="O615" s="16"/>
      <c r="P615" s="16">
        <f>E615*845</f>
        <v>3236941.5</v>
      </c>
      <c r="Q615" s="16"/>
      <c r="R615" s="16"/>
      <c r="S615" s="16"/>
      <c r="T615" s="16"/>
      <c r="U615" s="16"/>
      <c r="V615" s="19">
        <f t="shared" si="164"/>
        <v>3236941.5</v>
      </c>
      <c r="W615" s="20" t="s">
        <v>1175</v>
      </c>
      <c r="X615" s="37">
        <v>0</v>
      </c>
      <c r="Y615" s="37">
        <v>0</v>
      </c>
      <c r="Z615" s="79">
        <v>0</v>
      </c>
      <c r="AA615" s="19">
        <f t="shared" si="165"/>
        <v>3236941.5</v>
      </c>
    </row>
    <row r="616" spans="1:27" s="12" customFormat="1" ht="93.75" customHeight="1" x14ac:dyDescent="0.25">
      <c r="A616" s="17">
        <f>IF(OR(D616=0,D616=""),"",COUNTA($D$535:D616))</f>
        <v>67</v>
      </c>
      <c r="B616" s="17" t="s">
        <v>872</v>
      </c>
      <c r="C616" s="90" t="s">
        <v>144</v>
      </c>
      <c r="D616" s="43">
        <v>1968</v>
      </c>
      <c r="E616" s="16">
        <v>3750.2</v>
      </c>
      <c r="F616" s="16">
        <v>2098.5</v>
      </c>
      <c r="G616" s="16">
        <v>1329</v>
      </c>
      <c r="H616" s="17" t="s">
        <v>255</v>
      </c>
      <c r="I616" s="15"/>
      <c r="J616" s="16">
        <f>E616*430</f>
        <v>1612586</v>
      </c>
      <c r="K616" s="16"/>
      <c r="L616" s="16"/>
      <c r="M616" s="18"/>
      <c r="N616" s="16"/>
      <c r="O616" s="16"/>
      <c r="P616" s="16"/>
      <c r="Q616" s="16"/>
      <c r="R616" s="16"/>
      <c r="S616" s="16"/>
      <c r="T616" s="16"/>
      <c r="U616" s="16"/>
      <c r="V616" s="19">
        <f t="shared" si="164"/>
        <v>1612586</v>
      </c>
      <c r="W616" s="20" t="s">
        <v>1175</v>
      </c>
      <c r="X616" s="37">
        <v>0</v>
      </c>
      <c r="Y616" s="37">
        <v>0</v>
      </c>
      <c r="Z616" s="79">
        <v>0</v>
      </c>
      <c r="AA616" s="19">
        <f t="shared" si="165"/>
        <v>1612586</v>
      </c>
    </row>
    <row r="617" spans="1:27" s="12" customFormat="1" ht="93.75" customHeight="1" x14ac:dyDescent="0.25">
      <c r="A617" s="17">
        <f>IF(OR(D617=0,D617=""),"",COUNTA($D$535:D617))</f>
        <v>68</v>
      </c>
      <c r="B617" s="17" t="s">
        <v>713</v>
      </c>
      <c r="C617" s="90" t="s">
        <v>479</v>
      </c>
      <c r="D617" s="43">
        <v>1990</v>
      </c>
      <c r="E617" s="16">
        <v>5841.5</v>
      </c>
      <c r="F617" s="16">
        <v>3246.1</v>
      </c>
      <c r="G617" s="16">
        <v>1084</v>
      </c>
      <c r="H617" s="17" t="s">
        <v>251</v>
      </c>
      <c r="I617" s="15"/>
      <c r="J617" s="16">
        <f>541*E617</f>
        <v>3160251.5</v>
      </c>
      <c r="K617" s="16"/>
      <c r="L617" s="16"/>
      <c r="M617" s="18"/>
      <c r="N617" s="16"/>
      <c r="O617" s="16"/>
      <c r="P617" s="16"/>
      <c r="Q617" s="16"/>
      <c r="R617" s="16"/>
      <c r="S617" s="16"/>
      <c r="T617" s="16"/>
      <c r="U617" s="16"/>
      <c r="V617" s="19">
        <f t="shared" si="164"/>
        <v>3160251.5</v>
      </c>
      <c r="W617" s="20" t="s">
        <v>1175</v>
      </c>
      <c r="X617" s="37">
        <v>0</v>
      </c>
      <c r="Y617" s="37">
        <v>0</v>
      </c>
      <c r="Z617" s="79">
        <v>0</v>
      </c>
      <c r="AA617" s="19">
        <f t="shared" si="165"/>
        <v>3160251.5</v>
      </c>
    </row>
    <row r="618" spans="1:27" s="12" customFormat="1" ht="93.75" customHeight="1" x14ac:dyDescent="0.25">
      <c r="A618" s="17">
        <f>IF(OR(D618=0,D618=""),"",COUNTA($D$535:D618))</f>
        <v>69</v>
      </c>
      <c r="B618" s="17" t="s">
        <v>739</v>
      </c>
      <c r="C618" s="90" t="s">
        <v>66</v>
      </c>
      <c r="D618" s="43">
        <v>1988</v>
      </c>
      <c r="E618" s="16">
        <v>7570</v>
      </c>
      <c r="F618" s="16">
        <v>5631.2</v>
      </c>
      <c r="G618" s="16">
        <v>100.2</v>
      </c>
      <c r="H618" s="17" t="s">
        <v>255</v>
      </c>
      <c r="I618" s="15"/>
      <c r="J618" s="16">
        <f>E618*430</f>
        <v>3255100</v>
      </c>
      <c r="K618" s="16"/>
      <c r="L618" s="16"/>
      <c r="M618" s="18"/>
      <c r="N618" s="16"/>
      <c r="O618" s="16"/>
      <c r="P618" s="16"/>
      <c r="Q618" s="16"/>
      <c r="R618" s="16"/>
      <c r="S618" s="16"/>
      <c r="T618" s="16"/>
      <c r="U618" s="16"/>
      <c r="V618" s="19">
        <f t="shared" si="164"/>
        <v>3255100</v>
      </c>
      <c r="W618" s="20" t="s">
        <v>1175</v>
      </c>
      <c r="X618" s="37">
        <v>0</v>
      </c>
      <c r="Y618" s="37">
        <v>0</v>
      </c>
      <c r="Z618" s="79">
        <v>0</v>
      </c>
      <c r="AA618" s="19">
        <f t="shared" si="165"/>
        <v>3255100</v>
      </c>
    </row>
    <row r="619" spans="1:27" s="12" customFormat="1" ht="93.75" customHeight="1" x14ac:dyDescent="0.25">
      <c r="A619" s="17">
        <f>IF(OR(D619=0,D619=""),"",COUNTA($D$535:D619))</f>
        <v>70</v>
      </c>
      <c r="B619" s="17" t="s">
        <v>864</v>
      </c>
      <c r="C619" s="90" t="s">
        <v>516</v>
      </c>
      <c r="D619" s="43">
        <v>2005</v>
      </c>
      <c r="E619" s="16">
        <v>7344.2</v>
      </c>
      <c r="F619" s="16">
        <v>5158.7</v>
      </c>
      <c r="G619" s="16">
        <v>0</v>
      </c>
      <c r="H619" s="17" t="s">
        <v>464</v>
      </c>
      <c r="I619" s="15"/>
      <c r="J619" s="16"/>
      <c r="K619" s="16"/>
      <c r="L619" s="16"/>
      <c r="M619" s="18"/>
      <c r="N619" s="16"/>
      <c r="O619" s="16"/>
      <c r="P619" s="16">
        <f>E619*845</f>
        <v>6205849</v>
      </c>
      <c r="Q619" s="16"/>
      <c r="R619" s="16"/>
      <c r="S619" s="16"/>
      <c r="T619" s="16"/>
      <c r="U619" s="16"/>
      <c r="V619" s="19">
        <f t="shared" si="164"/>
        <v>6205849</v>
      </c>
      <c r="W619" s="20" t="s">
        <v>1175</v>
      </c>
      <c r="X619" s="37">
        <v>0</v>
      </c>
      <c r="Y619" s="37">
        <v>0</v>
      </c>
      <c r="Z619" s="79">
        <v>0</v>
      </c>
      <c r="AA619" s="19">
        <f t="shared" si="165"/>
        <v>6205849</v>
      </c>
    </row>
    <row r="620" spans="1:27" s="12" customFormat="1" ht="93.75" customHeight="1" x14ac:dyDescent="0.25">
      <c r="A620" s="17">
        <f>IF(OR(D620=0,D620=""),"",COUNTA($D$535:D620))</f>
        <v>71</v>
      </c>
      <c r="B620" s="17" t="s">
        <v>1166</v>
      </c>
      <c r="C620" s="90" t="s">
        <v>388</v>
      </c>
      <c r="D620" s="43">
        <v>1973</v>
      </c>
      <c r="E620" s="16">
        <v>3060</v>
      </c>
      <c r="F620" s="16">
        <v>2182.4</v>
      </c>
      <c r="G620" s="16">
        <v>97.4</v>
      </c>
      <c r="H620" s="17" t="s">
        <v>255</v>
      </c>
      <c r="I620" s="15"/>
      <c r="J620" s="16">
        <f>E620*430</f>
        <v>1315800</v>
      </c>
      <c r="K620" s="16"/>
      <c r="L620" s="16"/>
      <c r="M620" s="18"/>
      <c r="N620" s="16"/>
      <c r="O620" s="16"/>
      <c r="P620" s="16"/>
      <c r="Q620" s="16"/>
      <c r="R620" s="16"/>
      <c r="S620" s="16"/>
      <c r="T620" s="16"/>
      <c r="U620" s="16"/>
      <c r="V620" s="19">
        <f t="shared" si="164"/>
        <v>1315800</v>
      </c>
      <c r="W620" s="20" t="s">
        <v>1175</v>
      </c>
      <c r="X620" s="37">
        <v>0</v>
      </c>
      <c r="Y620" s="37">
        <v>0</v>
      </c>
      <c r="Z620" s="79">
        <v>0</v>
      </c>
      <c r="AA620" s="19">
        <f t="shared" si="165"/>
        <v>1315800</v>
      </c>
    </row>
    <row r="621" spans="1:27" s="12" customFormat="1" ht="93.75" customHeight="1" x14ac:dyDescent="0.25">
      <c r="A621" s="17">
        <f>IF(OR(D621=0,D621=""),"",COUNTA($D$535:D621))</f>
        <v>72</v>
      </c>
      <c r="B621" s="17" t="s">
        <v>935</v>
      </c>
      <c r="C621" s="90" t="s">
        <v>367</v>
      </c>
      <c r="D621" s="43">
        <v>1983</v>
      </c>
      <c r="E621" s="16">
        <v>10633</v>
      </c>
      <c r="F621" s="16">
        <v>7371.2</v>
      </c>
      <c r="G621" s="16">
        <v>179.4</v>
      </c>
      <c r="H621" s="17" t="s">
        <v>257</v>
      </c>
      <c r="I621" s="15"/>
      <c r="J621" s="16"/>
      <c r="K621" s="16">
        <f>1207*E621</f>
        <v>12834031</v>
      </c>
      <c r="L621" s="16"/>
      <c r="M621" s="18"/>
      <c r="N621" s="16"/>
      <c r="O621" s="16"/>
      <c r="P621" s="16"/>
      <c r="Q621" s="16"/>
      <c r="R621" s="16"/>
      <c r="S621" s="16"/>
      <c r="T621" s="16"/>
      <c r="U621" s="16"/>
      <c r="V621" s="19">
        <f t="shared" si="164"/>
        <v>12834031</v>
      </c>
      <c r="W621" s="20" t="s">
        <v>1175</v>
      </c>
      <c r="X621" s="37">
        <v>0</v>
      </c>
      <c r="Y621" s="37">
        <v>0</v>
      </c>
      <c r="Z621" s="79">
        <v>0</v>
      </c>
      <c r="AA621" s="19">
        <f t="shared" si="165"/>
        <v>12834031</v>
      </c>
    </row>
    <row r="622" spans="1:27" s="12" customFormat="1" ht="93.75" customHeight="1" x14ac:dyDescent="0.25">
      <c r="A622" s="17">
        <f>IF(OR(D622=0,D622=""),"",COUNTA($D$535:D622))</f>
        <v>73</v>
      </c>
      <c r="B622" s="17" t="s">
        <v>956</v>
      </c>
      <c r="C622" s="90" t="s">
        <v>348</v>
      </c>
      <c r="D622" s="43">
        <v>1980</v>
      </c>
      <c r="E622" s="16">
        <v>13046</v>
      </c>
      <c r="F622" s="16">
        <v>9844.4</v>
      </c>
      <c r="G622" s="16">
        <v>257</v>
      </c>
      <c r="H622" s="17" t="s">
        <v>255</v>
      </c>
      <c r="I622" s="15"/>
      <c r="J622" s="16"/>
      <c r="K622" s="16"/>
      <c r="L622" s="16"/>
      <c r="M622" s="18"/>
      <c r="N622" s="16"/>
      <c r="O622" s="16"/>
      <c r="P622" s="16">
        <f>E622*845</f>
        <v>11023870</v>
      </c>
      <c r="Q622" s="16"/>
      <c r="R622" s="16"/>
      <c r="S622" s="16"/>
      <c r="T622" s="16"/>
      <c r="U622" s="16"/>
      <c r="V622" s="19">
        <f t="shared" si="164"/>
        <v>11023870</v>
      </c>
      <c r="W622" s="20" t="s">
        <v>1175</v>
      </c>
      <c r="X622" s="37">
        <v>0</v>
      </c>
      <c r="Y622" s="37">
        <v>0</v>
      </c>
      <c r="Z622" s="79">
        <v>0</v>
      </c>
      <c r="AA622" s="19">
        <f t="shared" si="165"/>
        <v>11023870</v>
      </c>
    </row>
    <row r="623" spans="1:27" s="12" customFormat="1" ht="93.75" customHeight="1" x14ac:dyDescent="0.25">
      <c r="A623" s="17">
        <f>IF(OR(D623=0,D623=""),"",COUNTA($D$535:D623))</f>
        <v>74</v>
      </c>
      <c r="B623" s="17" t="s">
        <v>1000</v>
      </c>
      <c r="C623" s="90" t="s">
        <v>517</v>
      </c>
      <c r="D623" s="43">
        <v>1965</v>
      </c>
      <c r="E623" s="16">
        <v>4658.8999999999996</v>
      </c>
      <c r="F623" s="16">
        <v>3510.2</v>
      </c>
      <c r="G623" s="16">
        <v>0</v>
      </c>
      <c r="H623" s="17" t="s">
        <v>257</v>
      </c>
      <c r="I623" s="15"/>
      <c r="J623" s="16"/>
      <c r="K623" s="16">
        <f>1207*E623</f>
        <v>5623292.2999999998</v>
      </c>
      <c r="L623" s="16"/>
      <c r="M623" s="18"/>
      <c r="N623" s="16"/>
      <c r="O623" s="16"/>
      <c r="P623" s="16"/>
      <c r="Q623" s="16"/>
      <c r="R623" s="16"/>
      <c r="S623" s="16"/>
      <c r="T623" s="16"/>
      <c r="U623" s="16"/>
      <c r="V623" s="19">
        <f t="shared" si="164"/>
        <v>5623292.2999999998</v>
      </c>
      <c r="W623" s="20" t="s">
        <v>1175</v>
      </c>
      <c r="X623" s="37">
        <v>0</v>
      </c>
      <c r="Y623" s="37">
        <v>0</v>
      </c>
      <c r="Z623" s="79">
        <v>0</v>
      </c>
      <c r="AA623" s="19">
        <f t="shared" si="165"/>
        <v>5623292.2999999998</v>
      </c>
    </row>
    <row r="624" spans="1:27" s="12" customFormat="1" ht="93.75" customHeight="1" x14ac:dyDescent="0.25">
      <c r="A624" s="17">
        <f>IF(OR(D624=0,D624=""),"",COUNTA($D$535:D624))</f>
        <v>75</v>
      </c>
      <c r="B624" s="17" t="s">
        <v>785</v>
      </c>
      <c r="C624" s="90" t="s">
        <v>448</v>
      </c>
      <c r="D624" s="43">
        <v>1951</v>
      </c>
      <c r="E624" s="16">
        <v>2589.9</v>
      </c>
      <c r="F624" s="16">
        <v>1674.8</v>
      </c>
      <c r="G624" s="16">
        <v>915.1</v>
      </c>
      <c r="H624" s="17" t="s">
        <v>450</v>
      </c>
      <c r="I624" s="15"/>
      <c r="J624" s="16"/>
      <c r="K624" s="16"/>
      <c r="L624" s="16"/>
      <c r="M624" s="18"/>
      <c r="N624" s="16"/>
      <c r="O624" s="16"/>
      <c r="P624" s="16"/>
      <c r="Q624" s="16"/>
      <c r="R624" s="16">
        <f>7525*E624</f>
        <v>19488997.5</v>
      </c>
      <c r="S624" s="16"/>
      <c r="T624" s="16"/>
      <c r="U624" s="16"/>
      <c r="V624" s="19">
        <f t="shared" ref="V624" si="176">J624+K624+L624+M624+N624+O624+P624+Q624+R624+S624+T624+U624</f>
        <v>19488997.5</v>
      </c>
      <c r="W624" s="20" t="s">
        <v>1175</v>
      </c>
      <c r="X624" s="37">
        <v>0</v>
      </c>
      <c r="Y624" s="37">
        <v>0</v>
      </c>
      <c r="Z624" s="79">
        <v>0</v>
      </c>
      <c r="AA624" s="19">
        <f t="shared" ref="AA624" si="177">V624-(X624+Y624+Z624)</f>
        <v>19488997.5</v>
      </c>
    </row>
    <row r="625" spans="1:27" s="12" customFormat="1" ht="93.75" customHeight="1" x14ac:dyDescent="0.25">
      <c r="A625" s="17">
        <f>IF(OR(D625=0,D625=""),"",COUNTA($D$535:D625))</f>
        <v>76</v>
      </c>
      <c r="B625" s="17" t="s">
        <v>968</v>
      </c>
      <c r="C625" s="90" t="s">
        <v>518</v>
      </c>
      <c r="D625" s="43">
        <v>1977</v>
      </c>
      <c r="E625" s="16">
        <v>3881.5</v>
      </c>
      <c r="F625" s="16">
        <v>2937.3</v>
      </c>
      <c r="G625" s="16">
        <v>0</v>
      </c>
      <c r="H625" s="17" t="s">
        <v>257</v>
      </c>
      <c r="I625" s="15"/>
      <c r="J625" s="16"/>
      <c r="K625" s="16"/>
      <c r="L625" s="16"/>
      <c r="M625" s="18"/>
      <c r="N625" s="16"/>
      <c r="O625" s="16"/>
      <c r="P625" s="16">
        <f>2308*E625</f>
        <v>8958502</v>
      </c>
      <c r="Q625" s="16"/>
      <c r="R625" s="16"/>
      <c r="S625" s="16"/>
      <c r="T625" s="16"/>
      <c r="U625" s="16"/>
      <c r="V625" s="19">
        <f t="shared" si="164"/>
        <v>8958502</v>
      </c>
      <c r="W625" s="20" t="s">
        <v>1175</v>
      </c>
      <c r="X625" s="37">
        <v>0</v>
      </c>
      <c r="Y625" s="37">
        <v>0</v>
      </c>
      <c r="Z625" s="79">
        <v>0</v>
      </c>
      <c r="AA625" s="19">
        <f t="shared" si="165"/>
        <v>8958502</v>
      </c>
    </row>
    <row r="626" spans="1:27" s="12" customFormat="1" ht="93.75" customHeight="1" x14ac:dyDescent="0.25">
      <c r="A626" s="17">
        <f>IF(OR(D626=0,D626=""),"",COUNTA($D$535:D626))</f>
        <v>77</v>
      </c>
      <c r="B626" s="17" t="s">
        <v>917</v>
      </c>
      <c r="C626" s="90" t="s">
        <v>519</v>
      </c>
      <c r="D626" s="43">
        <v>2010</v>
      </c>
      <c r="E626" s="16">
        <v>25157</v>
      </c>
      <c r="F626" s="16">
        <v>18925</v>
      </c>
      <c r="G626" s="16">
        <v>968</v>
      </c>
      <c r="H626" s="17" t="s">
        <v>464</v>
      </c>
      <c r="I626" s="15"/>
      <c r="J626" s="16">
        <f>E626*430</f>
        <v>10817510</v>
      </c>
      <c r="K626" s="16">
        <f>886*E626</f>
        <v>22289102</v>
      </c>
      <c r="L626" s="16"/>
      <c r="M626" s="16">
        <f>E626*212</f>
        <v>5333284</v>
      </c>
      <c r="N626" s="16"/>
      <c r="O626" s="16"/>
      <c r="P626" s="16"/>
      <c r="Q626" s="16"/>
      <c r="R626" s="16"/>
      <c r="S626" s="16"/>
      <c r="T626" s="16"/>
      <c r="U626" s="16"/>
      <c r="V626" s="19">
        <f t="shared" si="164"/>
        <v>38439896</v>
      </c>
      <c r="W626" s="20" t="s">
        <v>1175</v>
      </c>
      <c r="X626" s="37">
        <v>0</v>
      </c>
      <c r="Y626" s="37">
        <v>0</v>
      </c>
      <c r="Z626" s="79">
        <v>0</v>
      </c>
      <c r="AA626" s="19">
        <f t="shared" si="165"/>
        <v>38439896</v>
      </c>
    </row>
    <row r="627" spans="1:27" s="12" customFormat="1" ht="93.75" customHeight="1" x14ac:dyDescent="0.25">
      <c r="A627" s="17">
        <f>IF(OR(D627=0,D627=""),"",COUNTA($D$535:D627))</f>
        <v>78</v>
      </c>
      <c r="B627" s="17" t="s">
        <v>1016</v>
      </c>
      <c r="C627" s="90" t="s">
        <v>520</v>
      </c>
      <c r="D627" s="43">
        <v>1981</v>
      </c>
      <c r="E627" s="16">
        <v>4750.41</v>
      </c>
      <c r="F627" s="16">
        <v>3185.81</v>
      </c>
      <c r="G627" s="16">
        <v>26.4</v>
      </c>
      <c r="H627" s="17" t="s">
        <v>255</v>
      </c>
      <c r="I627" s="15"/>
      <c r="J627" s="16">
        <f>E627*430</f>
        <v>2042676.3</v>
      </c>
      <c r="K627" s="16"/>
      <c r="L627" s="16"/>
      <c r="M627" s="16"/>
      <c r="N627" s="16"/>
      <c r="O627" s="16"/>
      <c r="P627" s="16">
        <f>E627*845</f>
        <v>4014096.4499999997</v>
      </c>
      <c r="Q627" s="16"/>
      <c r="R627" s="16"/>
      <c r="S627" s="16"/>
      <c r="T627" s="16"/>
      <c r="U627" s="16"/>
      <c r="V627" s="19">
        <f t="shared" si="164"/>
        <v>6056772.75</v>
      </c>
      <c r="W627" s="20" t="s">
        <v>1175</v>
      </c>
      <c r="X627" s="37">
        <v>0</v>
      </c>
      <c r="Y627" s="37">
        <v>0</v>
      </c>
      <c r="Z627" s="79">
        <v>0</v>
      </c>
      <c r="AA627" s="19">
        <f t="shared" si="165"/>
        <v>6056772.75</v>
      </c>
    </row>
    <row r="628" spans="1:27" s="12" customFormat="1" ht="93.75" customHeight="1" x14ac:dyDescent="0.25">
      <c r="A628" s="17">
        <f>IF(OR(D628=0,D628=""),"",COUNTA($D$535:D628))</f>
        <v>79</v>
      </c>
      <c r="B628" s="17" t="s">
        <v>865</v>
      </c>
      <c r="C628" s="90" t="s">
        <v>521</v>
      </c>
      <c r="D628" s="43">
        <v>2005</v>
      </c>
      <c r="E628" s="16">
        <v>14422.7</v>
      </c>
      <c r="F628" s="16">
        <v>10224</v>
      </c>
      <c r="G628" s="16">
        <v>0</v>
      </c>
      <c r="H628" s="17" t="s">
        <v>464</v>
      </c>
      <c r="I628" s="15"/>
      <c r="J628" s="16"/>
      <c r="K628" s="16"/>
      <c r="L628" s="16"/>
      <c r="M628" s="18"/>
      <c r="N628" s="16"/>
      <c r="O628" s="16"/>
      <c r="P628" s="16">
        <f>E628*845</f>
        <v>12187181.5</v>
      </c>
      <c r="Q628" s="16"/>
      <c r="R628" s="16"/>
      <c r="S628" s="16"/>
      <c r="T628" s="16"/>
      <c r="U628" s="16"/>
      <c r="V628" s="19">
        <f t="shared" si="164"/>
        <v>12187181.5</v>
      </c>
      <c r="W628" s="20" t="s">
        <v>1175</v>
      </c>
      <c r="X628" s="37">
        <v>0</v>
      </c>
      <c r="Y628" s="37">
        <v>0</v>
      </c>
      <c r="Z628" s="79">
        <v>0</v>
      </c>
      <c r="AA628" s="19">
        <f t="shared" si="165"/>
        <v>12187181.5</v>
      </c>
    </row>
    <row r="629" spans="1:27" s="12" customFormat="1" ht="93.75" customHeight="1" x14ac:dyDescent="0.25">
      <c r="A629" s="17">
        <f>IF(OR(D629=0,D629=""),"",COUNTA($D$535:D629))</f>
        <v>80</v>
      </c>
      <c r="B629" s="17" t="s">
        <v>1020</v>
      </c>
      <c r="C629" s="90" t="s">
        <v>522</v>
      </c>
      <c r="D629" s="43">
        <v>1983</v>
      </c>
      <c r="E629" s="16">
        <v>7102.9</v>
      </c>
      <c r="F629" s="16">
        <v>4258.2</v>
      </c>
      <c r="G629" s="16">
        <v>0</v>
      </c>
      <c r="H629" s="17" t="s">
        <v>257</v>
      </c>
      <c r="I629" s="15"/>
      <c r="J629" s="16"/>
      <c r="K629" s="16"/>
      <c r="L629" s="16"/>
      <c r="M629" s="16"/>
      <c r="N629" s="16"/>
      <c r="O629" s="16"/>
      <c r="P629" s="16">
        <f>2308*E629</f>
        <v>16393493.199999999</v>
      </c>
      <c r="Q629" s="16"/>
      <c r="R629" s="16"/>
      <c r="S629" s="16"/>
      <c r="T629" s="16"/>
      <c r="U629" s="16"/>
      <c r="V629" s="19">
        <f t="shared" si="164"/>
        <v>16393493.199999999</v>
      </c>
      <c r="W629" s="20" t="s">
        <v>1175</v>
      </c>
      <c r="X629" s="37">
        <v>0</v>
      </c>
      <c r="Y629" s="37">
        <v>0</v>
      </c>
      <c r="Z629" s="79">
        <v>0</v>
      </c>
      <c r="AA629" s="19">
        <f t="shared" si="165"/>
        <v>16393493.199999999</v>
      </c>
    </row>
    <row r="630" spans="1:27" s="12" customFormat="1" ht="93.6" customHeight="1" x14ac:dyDescent="0.25">
      <c r="A630" s="17">
        <f>IF(OR(D630=0,D630=""),"",COUNTA($D$535:D630))</f>
        <v>81</v>
      </c>
      <c r="B630" s="17" t="s">
        <v>729</v>
      </c>
      <c r="C630" s="90" t="s">
        <v>477</v>
      </c>
      <c r="D630" s="43">
        <v>1988</v>
      </c>
      <c r="E630" s="16">
        <v>6719</v>
      </c>
      <c r="F630" s="16">
        <v>3983.9</v>
      </c>
      <c r="G630" s="16">
        <v>71.400000000000006</v>
      </c>
      <c r="H630" s="17" t="s">
        <v>255</v>
      </c>
      <c r="I630" s="15">
        <v>1</v>
      </c>
      <c r="J630" s="16"/>
      <c r="K630" s="16"/>
      <c r="L630" s="16"/>
      <c r="M630" s="18"/>
      <c r="N630" s="16"/>
      <c r="O630" s="16"/>
      <c r="P630" s="16">
        <f>E630*845</f>
        <v>5677555</v>
      </c>
      <c r="Q630" s="16"/>
      <c r="R630" s="16"/>
      <c r="S630" s="16"/>
      <c r="T630" s="16"/>
      <c r="U630" s="16"/>
      <c r="V630" s="19">
        <f t="shared" si="164"/>
        <v>5677555</v>
      </c>
      <c r="W630" s="20" t="s">
        <v>1175</v>
      </c>
      <c r="X630" s="37">
        <v>0</v>
      </c>
      <c r="Y630" s="37">
        <v>0</v>
      </c>
      <c r="Z630" s="79">
        <v>0</v>
      </c>
      <c r="AA630" s="19">
        <f t="shared" si="165"/>
        <v>5677555</v>
      </c>
    </row>
    <row r="631" spans="1:27" s="12" customFormat="1" ht="93.6" customHeight="1" x14ac:dyDescent="0.25">
      <c r="A631" s="17">
        <f>IF(OR(D631=0,D631=""),"",COUNTA($D$535:D631))</f>
        <v>82</v>
      </c>
      <c r="B631" s="17" t="s">
        <v>915</v>
      </c>
      <c r="C631" s="90" t="s">
        <v>507</v>
      </c>
      <c r="D631" s="43">
        <v>1971</v>
      </c>
      <c r="E631" s="16">
        <v>6084.5</v>
      </c>
      <c r="F631" s="16">
        <v>4424.8999999999996</v>
      </c>
      <c r="G631" s="16">
        <v>1659.6</v>
      </c>
      <c r="H631" s="17" t="s">
        <v>257</v>
      </c>
      <c r="I631" s="15"/>
      <c r="J631" s="16"/>
      <c r="K631" s="16"/>
      <c r="L631" s="16"/>
      <c r="M631" s="18"/>
      <c r="N631" s="16"/>
      <c r="O631" s="16"/>
      <c r="P631" s="16">
        <f>2308*E631</f>
        <v>14043026</v>
      </c>
      <c r="Q631" s="16"/>
      <c r="R631" s="16"/>
      <c r="S631" s="16"/>
      <c r="T631" s="16"/>
      <c r="U631" s="16"/>
      <c r="V631" s="19">
        <f t="shared" si="164"/>
        <v>14043026</v>
      </c>
      <c r="W631" s="20" t="s">
        <v>1175</v>
      </c>
      <c r="X631" s="37">
        <v>0</v>
      </c>
      <c r="Y631" s="37">
        <v>0</v>
      </c>
      <c r="Z631" s="79">
        <v>0</v>
      </c>
      <c r="AA631" s="19">
        <f t="shared" si="165"/>
        <v>14043026</v>
      </c>
    </row>
    <row r="632" spans="1:27" s="12" customFormat="1" ht="93.75" customHeight="1" x14ac:dyDescent="0.25">
      <c r="A632" s="17">
        <f>IF(OR(D632=0,D632=""),"",COUNTA($D$535:D632))</f>
        <v>83</v>
      </c>
      <c r="B632" s="17" t="s">
        <v>922</v>
      </c>
      <c r="C632" s="90" t="s">
        <v>508</v>
      </c>
      <c r="D632" s="43">
        <v>1972</v>
      </c>
      <c r="E632" s="16">
        <v>4589.5</v>
      </c>
      <c r="F632" s="16">
        <v>2898.3</v>
      </c>
      <c r="G632" s="16">
        <v>732</v>
      </c>
      <c r="H632" s="17" t="s">
        <v>257</v>
      </c>
      <c r="I632" s="15"/>
      <c r="J632" s="16">
        <f>406*E632</f>
        <v>1863337</v>
      </c>
      <c r="K632" s="16"/>
      <c r="L632" s="16"/>
      <c r="M632" s="16"/>
      <c r="N632" s="16"/>
      <c r="O632" s="16"/>
      <c r="P632" s="16">
        <f>2308*E632</f>
        <v>10592566</v>
      </c>
      <c r="Q632" s="16"/>
      <c r="R632" s="16"/>
      <c r="S632" s="16"/>
      <c r="T632" s="16"/>
      <c r="U632" s="16"/>
      <c r="V632" s="19">
        <f t="shared" si="164"/>
        <v>12455903</v>
      </c>
      <c r="W632" s="20" t="s">
        <v>1175</v>
      </c>
      <c r="X632" s="37">
        <v>0</v>
      </c>
      <c r="Y632" s="37">
        <v>0</v>
      </c>
      <c r="Z632" s="79">
        <v>0</v>
      </c>
      <c r="AA632" s="19">
        <f t="shared" si="165"/>
        <v>12455903</v>
      </c>
    </row>
    <row r="633" spans="1:27" s="12" customFormat="1" ht="93.75" customHeight="1" x14ac:dyDescent="0.25">
      <c r="A633" s="17">
        <f>IF(OR(D633=0,D633=""),"",COUNTA($D$535:D633))</f>
        <v>84</v>
      </c>
      <c r="B633" s="17" t="s">
        <v>938</v>
      </c>
      <c r="C633" s="90" t="s">
        <v>509</v>
      </c>
      <c r="D633" s="43">
        <v>1972</v>
      </c>
      <c r="E633" s="16">
        <v>4083.5</v>
      </c>
      <c r="F633" s="16">
        <v>2974.2</v>
      </c>
      <c r="G633" s="16">
        <v>314.8</v>
      </c>
      <c r="H633" s="17" t="s">
        <v>257</v>
      </c>
      <c r="I633" s="15"/>
      <c r="J633" s="16"/>
      <c r="K633" s="16"/>
      <c r="L633" s="16"/>
      <c r="M633" s="16"/>
      <c r="N633" s="16"/>
      <c r="O633" s="16"/>
      <c r="P633" s="16">
        <f>2308*E633</f>
        <v>9424718</v>
      </c>
      <c r="Q633" s="16"/>
      <c r="R633" s="16"/>
      <c r="S633" s="16"/>
      <c r="T633" s="16"/>
      <c r="U633" s="16"/>
      <c r="V633" s="19">
        <f t="shared" si="164"/>
        <v>9424718</v>
      </c>
      <c r="W633" s="20" t="s">
        <v>1175</v>
      </c>
      <c r="X633" s="37">
        <v>0</v>
      </c>
      <c r="Y633" s="37">
        <v>0</v>
      </c>
      <c r="Z633" s="79">
        <v>0</v>
      </c>
      <c r="AA633" s="19">
        <f t="shared" si="165"/>
        <v>9424718</v>
      </c>
    </row>
    <row r="634" spans="1:27" s="12" customFormat="1" ht="93.75" customHeight="1" x14ac:dyDescent="0.25">
      <c r="A634" s="17">
        <f>IF(OR(D634=0,D634=""),"",COUNTA($D$535:D634))</f>
        <v>85</v>
      </c>
      <c r="B634" s="17" t="s">
        <v>960</v>
      </c>
      <c r="C634" s="90" t="s">
        <v>510</v>
      </c>
      <c r="D634" s="43">
        <v>1955</v>
      </c>
      <c r="E634" s="16">
        <v>4484.1000000000004</v>
      </c>
      <c r="F634" s="16">
        <v>3321</v>
      </c>
      <c r="G634" s="16">
        <v>0</v>
      </c>
      <c r="H634" s="17" t="s">
        <v>257</v>
      </c>
      <c r="I634" s="15"/>
      <c r="J634" s="16"/>
      <c r="K634" s="16"/>
      <c r="L634" s="16"/>
      <c r="M634" s="18"/>
      <c r="N634" s="16"/>
      <c r="O634" s="16"/>
      <c r="P634" s="16">
        <f>2308*E634</f>
        <v>10349302.800000001</v>
      </c>
      <c r="Q634" s="16"/>
      <c r="R634" s="16"/>
      <c r="S634" s="16"/>
      <c r="T634" s="16"/>
      <c r="U634" s="16"/>
      <c r="V634" s="19">
        <f t="shared" si="164"/>
        <v>10349302.800000001</v>
      </c>
      <c r="W634" s="20" t="s">
        <v>1175</v>
      </c>
      <c r="X634" s="37">
        <v>0</v>
      </c>
      <c r="Y634" s="37">
        <v>0</v>
      </c>
      <c r="Z634" s="79">
        <v>0</v>
      </c>
      <c r="AA634" s="19">
        <f t="shared" si="165"/>
        <v>10349302.800000001</v>
      </c>
    </row>
    <row r="635" spans="1:27" s="12" customFormat="1" ht="93.75" customHeight="1" x14ac:dyDescent="0.25">
      <c r="A635" s="17">
        <f>IF(OR(D635=0,D635=""),"",COUNTA($D$535:D635))</f>
        <v>86</v>
      </c>
      <c r="B635" s="17" t="s">
        <v>1026</v>
      </c>
      <c r="C635" s="90" t="s">
        <v>417</v>
      </c>
      <c r="D635" s="43">
        <v>1977</v>
      </c>
      <c r="E635" s="16">
        <v>5097</v>
      </c>
      <c r="F635" s="16">
        <v>3380.4</v>
      </c>
      <c r="G635" s="16">
        <v>0</v>
      </c>
      <c r="H635" s="17" t="s">
        <v>257</v>
      </c>
      <c r="I635" s="15"/>
      <c r="J635" s="16"/>
      <c r="K635" s="16"/>
      <c r="L635" s="16"/>
      <c r="M635" s="18"/>
      <c r="N635" s="16"/>
      <c r="O635" s="16"/>
      <c r="P635" s="16">
        <f>2308*E635</f>
        <v>11763876</v>
      </c>
      <c r="Q635" s="16"/>
      <c r="R635" s="16">
        <f>E635*2763</f>
        <v>14083011</v>
      </c>
      <c r="S635" s="16"/>
      <c r="T635" s="16"/>
      <c r="U635" s="16"/>
      <c r="V635" s="19">
        <f t="shared" si="164"/>
        <v>25846887</v>
      </c>
      <c r="W635" s="20" t="s">
        <v>1175</v>
      </c>
      <c r="X635" s="37">
        <v>0</v>
      </c>
      <c r="Y635" s="37">
        <v>0</v>
      </c>
      <c r="Z635" s="79">
        <v>0</v>
      </c>
      <c r="AA635" s="19">
        <f t="shared" si="165"/>
        <v>25846887</v>
      </c>
    </row>
    <row r="636" spans="1:27" s="12" customFormat="1" ht="93.75" customHeight="1" x14ac:dyDescent="0.25">
      <c r="A636" s="17">
        <f>IF(OR(D636=0,D636=""),"",COUNTA($D$535:D636))</f>
        <v>87</v>
      </c>
      <c r="B636" s="17" t="s">
        <v>983</v>
      </c>
      <c r="C636" s="90" t="s">
        <v>416</v>
      </c>
      <c r="D636" s="43">
        <v>1951</v>
      </c>
      <c r="E636" s="16">
        <v>4256.5</v>
      </c>
      <c r="F636" s="16">
        <v>3134.1</v>
      </c>
      <c r="G636" s="16">
        <v>921.7</v>
      </c>
      <c r="H636" s="17" t="s">
        <v>257</v>
      </c>
      <c r="I636" s="15"/>
      <c r="J636" s="16">
        <f>406*E636</f>
        <v>1728139</v>
      </c>
      <c r="K636" s="16">
        <f>1207*E636</f>
        <v>5137595.5</v>
      </c>
      <c r="L636" s="16"/>
      <c r="M636" s="16">
        <f>855*E636</f>
        <v>3639307.5</v>
      </c>
      <c r="N636" s="16">
        <f>383*E636</f>
        <v>1630239.5</v>
      </c>
      <c r="O636" s="16"/>
      <c r="P636" s="16"/>
      <c r="Q636" s="16"/>
      <c r="R636" s="16"/>
      <c r="S636" s="16"/>
      <c r="T636" s="16"/>
      <c r="U636" s="16"/>
      <c r="V636" s="19">
        <f t="shared" ref="V636:V649" si="178">J636+K636+L636+M636+N636+O636+P636+Q636+R636+S636+T636+U636</f>
        <v>12135281.5</v>
      </c>
      <c r="W636" s="20" t="s">
        <v>1175</v>
      </c>
      <c r="X636" s="37">
        <v>0</v>
      </c>
      <c r="Y636" s="37">
        <v>0</v>
      </c>
      <c r="Z636" s="79">
        <v>0</v>
      </c>
      <c r="AA636" s="19">
        <f t="shared" ref="AA636:AA649" si="179">V636-(X636+Y636+Z636)</f>
        <v>12135281.5</v>
      </c>
    </row>
    <row r="637" spans="1:27" s="12" customFormat="1" ht="93.75" customHeight="1" x14ac:dyDescent="0.25">
      <c r="A637" s="17">
        <f>IF(OR(D637=0,D637=""),"",COUNTA($D$535:D637))</f>
        <v>88</v>
      </c>
      <c r="B637" s="17" t="s">
        <v>740</v>
      </c>
      <c r="C637" s="90" t="s">
        <v>601</v>
      </c>
      <c r="D637" s="43">
        <v>1972</v>
      </c>
      <c r="E637" s="16">
        <v>7664.8</v>
      </c>
      <c r="F637" s="16">
        <v>5976.1</v>
      </c>
      <c r="G637" s="16">
        <v>1688.7</v>
      </c>
      <c r="H637" s="17" t="s">
        <v>257</v>
      </c>
      <c r="I637" s="15"/>
      <c r="J637" s="16"/>
      <c r="K637" s="16">
        <f>1207*E637</f>
        <v>9251413.5999999996</v>
      </c>
      <c r="L637" s="16"/>
      <c r="M637" s="16"/>
      <c r="N637" s="16"/>
      <c r="O637" s="16"/>
      <c r="P637" s="16"/>
      <c r="Q637" s="16"/>
      <c r="R637" s="16"/>
      <c r="S637" s="16"/>
      <c r="T637" s="16"/>
      <c r="U637" s="16">
        <f>(J637+K637+L637+M637+N637+O637+P637+Q637+R637+S637+T637)*0.0214</f>
        <v>197980.25103999997</v>
      </c>
      <c r="V637" s="19">
        <f t="shared" si="178"/>
        <v>9449393.8510400001</v>
      </c>
      <c r="W637" s="20" t="s">
        <v>1175</v>
      </c>
      <c r="X637" s="37">
        <v>0</v>
      </c>
      <c r="Y637" s="37">
        <v>0</v>
      </c>
      <c r="Z637" s="79">
        <v>0</v>
      </c>
      <c r="AA637" s="19">
        <f t="shared" si="179"/>
        <v>9449393.8510400001</v>
      </c>
    </row>
    <row r="638" spans="1:27" s="12" customFormat="1" ht="93.75" customHeight="1" x14ac:dyDescent="0.25">
      <c r="A638" s="17">
        <f>IF(OR(D638=0,D638=""),"",COUNTA($D$535:D638))</f>
        <v>89</v>
      </c>
      <c r="B638" s="17" t="s">
        <v>957</v>
      </c>
      <c r="C638" s="90" t="s">
        <v>414</v>
      </c>
      <c r="D638" s="43">
        <v>1982</v>
      </c>
      <c r="E638" s="16">
        <v>4976.5</v>
      </c>
      <c r="F638" s="16">
        <v>3850.4</v>
      </c>
      <c r="G638" s="16">
        <v>1126.0999999999999</v>
      </c>
      <c r="H638" s="17" t="s">
        <v>255</v>
      </c>
      <c r="I638" s="16"/>
      <c r="J638" s="16"/>
      <c r="K638" s="16">
        <f>886*E638</f>
        <v>4409179</v>
      </c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9">
        <f t="shared" si="178"/>
        <v>4409179</v>
      </c>
      <c r="W638" s="20" t="s">
        <v>1175</v>
      </c>
      <c r="X638" s="37">
        <v>0</v>
      </c>
      <c r="Y638" s="37">
        <v>0</v>
      </c>
      <c r="Z638" s="79">
        <v>0</v>
      </c>
      <c r="AA638" s="19">
        <f t="shared" si="179"/>
        <v>4409179</v>
      </c>
    </row>
    <row r="639" spans="1:27" s="12" customFormat="1" ht="93.75" customHeight="1" x14ac:dyDescent="0.25">
      <c r="A639" s="17">
        <f>IF(OR(D639=0,D639=""),"",COUNTA($D$535:D639))</f>
        <v>90</v>
      </c>
      <c r="B639" s="17" t="s">
        <v>808</v>
      </c>
      <c r="C639" s="90" t="s">
        <v>102</v>
      </c>
      <c r="D639" s="43">
        <v>1973</v>
      </c>
      <c r="E639" s="16">
        <v>3723.9</v>
      </c>
      <c r="F639" s="16">
        <v>2712.2</v>
      </c>
      <c r="G639" s="16">
        <v>0</v>
      </c>
      <c r="H639" s="17" t="s">
        <v>257</v>
      </c>
      <c r="I639" s="15"/>
      <c r="J639" s="16"/>
      <c r="K639" s="16"/>
      <c r="L639" s="16"/>
      <c r="M639" s="18"/>
      <c r="N639" s="16"/>
      <c r="O639" s="16"/>
      <c r="P639" s="16">
        <f>2308*E639</f>
        <v>8594761.2000000011</v>
      </c>
      <c r="Q639" s="16"/>
      <c r="R639" s="16">
        <f>E639*2763</f>
        <v>10289135.700000001</v>
      </c>
      <c r="S639" s="16"/>
      <c r="T639" s="16"/>
      <c r="U639" s="16"/>
      <c r="V639" s="19">
        <f t="shared" si="178"/>
        <v>18883896.900000002</v>
      </c>
      <c r="W639" s="20" t="s">
        <v>1175</v>
      </c>
      <c r="X639" s="37">
        <v>0</v>
      </c>
      <c r="Y639" s="37">
        <v>0</v>
      </c>
      <c r="Z639" s="79">
        <v>0</v>
      </c>
      <c r="AA639" s="19">
        <f t="shared" si="179"/>
        <v>18883896.900000002</v>
      </c>
    </row>
    <row r="640" spans="1:27" s="12" customFormat="1" ht="93.75" customHeight="1" x14ac:dyDescent="0.25">
      <c r="A640" s="17">
        <f>IF(OR(D640=0,D640=""),"",COUNTA($D$535:D640))</f>
        <v>91</v>
      </c>
      <c r="B640" s="17" t="s">
        <v>722</v>
      </c>
      <c r="C640" s="90" t="s">
        <v>410</v>
      </c>
      <c r="D640" s="43">
        <v>1970</v>
      </c>
      <c r="E640" s="16">
        <v>5687.8</v>
      </c>
      <c r="F640" s="16">
        <v>4356.8</v>
      </c>
      <c r="G640" s="16">
        <v>1331</v>
      </c>
      <c r="H640" s="17" t="s">
        <v>257</v>
      </c>
      <c r="I640" s="15"/>
      <c r="J640" s="16">
        <f>406*E640</f>
        <v>2309246.8000000003</v>
      </c>
      <c r="K640" s="16">
        <f>1207*E640</f>
        <v>6865174.6000000006</v>
      </c>
      <c r="L640" s="16"/>
      <c r="M640" s="16">
        <f>855*E640</f>
        <v>4863069</v>
      </c>
      <c r="N640" s="16">
        <f>383*E640</f>
        <v>2178427.4</v>
      </c>
      <c r="O640" s="16"/>
      <c r="P640" s="16"/>
      <c r="Q640" s="16">
        <f>E640*297</f>
        <v>1689276.6</v>
      </c>
      <c r="R640" s="16">
        <f>E640*2763</f>
        <v>15715391.4</v>
      </c>
      <c r="S640" s="16">
        <f>E640*102</f>
        <v>580155.6</v>
      </c>
      <c r="T640" s="16"/>
      <c r="U640" s="16"/>
      <c r="V640" s="19">
        <f t="shared" si="178"/>
        <v>34200741.400000006</v>
      </c>
      <c r="W640" s="20" t="s">
        <v>1175</v>
      </c>
      <c r="X640" s="37">
        <v>0</v>
      </c>
      <c r="Y640" s="37">
        <v>0</v>
      </c>
      <c r="Z640" s="79">
        <v>0</v>
      </c>
      <c r="AA640" s="19">
        <f t="shared" si="179"/>
        <v>34200741.400000006</v>
      </c>
    </row>
    <row r="641" spans="1:27" s="12" customFormat="1" ht="93.75" customHeight="1" x14ac:dyDescent="0.25">
      <c r="A641" s="17">
        <f>IF(OR(D641=0,D641=""),"",COUNTA($D$535:D641))</f>
        <v>92</v>
      </c>
      <c r="B641" s="17" t="s">
        <v>971</v>
      </c>
      <c r="C641" s="90" t="s">
        <v>415</v>
      </c>
      <c r="D641" s="43">
        <v>1973</v>
      </c>
      <c r="E641" s="16">
        <v>7779.9</v>
      </c>
      <c r="F641" s="16">
        <v>5922.5</v>
      </c>
      <c r="G641" s="16">
        <v>0</v>
      </c>
      <c r="H641" s="17" t="s">
        <v>257</v>
      </c>
      <c r="I641" s="15"/>
      <c r="J641" s="16"/>
      <c r="K641" s="16"/>
      <c r="L641" s="16"/>
      <c r="M641" s="18"/>
      <c r="N641" s="16"/>
      <c r="O641" s="16"/>
      <c r="P641" s="16">
        <f>2308*E641</f>
        <v>17956009.199999999</v>
      </c>
      <c r="Q641" s="16"/>
      <c r="R641" s="16">
        <f>E641*2763</f>
        <v>21495863.699999999</v>
      </c>
      <c r="S641" s="16"/>
      <c r="T641" s="16"/>
      <c r="U641" s="16"/>
      <c r="V641" s="19">
        <f t="shared" si="178"/>
        <v>39451872.899999999</v>
      </c>
      <c r="W641" s="20" t="s">
        <v>1175</v>
      </c>
      <c r="X641" s="37">
        <v>0</v>
      </c>
      <c r="Y641" s="37">
        <v>0</v>
      </c>
      <c r="Z641" s="79">
        <v>0</v>
      </c>
      <c r="AA641" s="19">
        <f t="shared" si="179"/>
        <v>39451872.899999999</v>
      </c>
    </row>
    <row r="642" spans="1:27" s="12" customFormat="1" ht="93.75" customHeight="1" x14ac:dyDescent="0.25">
      <c r="A642" s="17">
        <f>IF(OR(D642=0,D642=""),"",COUNTA($D$535:D642))</f>
        <v>93</v>
      </c>
      <c r="B642" s="17" t="s">
        <v>794</v>
      </c>
      <c r="C642" s="90" t="s">
        <v>403</v>
      </c>
      <c r="D642" s="43">
        <v>1977</v>
      </c>
      <c r="E642" s="16">
        <v>5919.1</v>
      </c>
      <c r="F642" s="16">
        <v>4504.8</v>
      </c>
      <c r="G642" s="16">
        <v>0</v>
      </c>
      <c r="H642" s="17" t="s">
        <v>257</v>
      </c>
      <c r="I642" s="15"/>
      <c r="J642" s="16"/>
      <c r="K642" s="16"/>
      <c r="L642" s="16"/>
      <c r="M642" s="18"/>
      <c r="N642" s="16"/>
      <c r="O642" s="16"/>
      <c r="P642" s="16">
        <f>2308*E642</f>
        <v>13661282.800000001</v>
      </c>
      <c r="Q642" s="16"/>
      <c r="R642" s="16"/>
      <c r="S642" s="16"/>
      <c r="T642" s="16"/>
      <c r="U642" s="16"/>
      <c r="V642" s="19">
        <f t="shared" si="178"/>
        <v>13661282.800000001</v>
      </c>
      <c r="W642" s="20" t="s">
        <v>1175</v>
      </c>
      <c r="X642" s="37">
        <v>0</v>
      </c>
      <c r="Y642" s="37">
        <v>0</v>
      </c>
      <c r="Z642" s="79">
        <v>0</v>
      </c>
      <c r="AA642" s="19">
        <f t="shared" si="179"/>
        <v>13661282.800000001</v>
      </c>
    </row>
    <row r="643" spans="1:27" s="12" customFormat="1" ht="93.75" customHeight="1" x14ac:dyDescent="0.25">
      <c r="A643" s="17">
        <f>IF(OR(D643=0,D643=""),"",COUNTA($D$535:D643))</f>
        <v>94</v>
      </c>
      <c r="B643" s="17" t="s">
        <v>788</v>
      </c>
      <c r="C643" s="90" t="s">
        <v>405</v>
      </c>
      <c r="D643" s="43">
        <v>1971</v>
      </c>
      <c r="E643" s="16">
        <v>5573.8</v>
      </c>
      <c r="F643" s="16">
        <v>4416.8999999999996</v>
      </c>
      <c r="G643" s="16">
        <v>0</v>
      </c>
      <c r="H643" s="17" t="s">
        <v>257</v>
      </c>
      <c r="I643" s="15"/>
      <c r="J643" s="16"/>
      <c r="K643" s="16"/>
      <c r="L643" s="16"/>
      <c r="M643" s="18"/>
      <c r="N643" s="16"/>
      <c r="O643" s="16"/>
      <c r="P643" s="16">
        <f>2308*E643</f>
        <v>12864330.4</v>
      </c>
      <c r="Q643" s="16"/>
      <c r="R643" s="16"/>
      <c r="S643" s="16"/>
      <c r="T643" s="16"/>
      <c r="U643" s="16"/>
      <c r="V643" s="19">
        <f t="shared" si="178"/>
        <v>12864330.4</v>
      </c>
      <c r="W643" s="20" t="s">
        <v>1175</v>
      </c>
      <c r="X643" s="37">
        <v>0</v>
      </c>
      <c r="Y643" s="37">
        <v>0</v>
      </c>
      <c r="Z643" s="79">
        <v>0</v>
      </c>
      <c r="AA643" s="19">
        <f t="shared" si="179"/>
        <v>12864330.4</v>
      </c>
    </row>
    <row r="644" spans="1:27" s="12" customFormat="1" ht="93.75" customHeight="1" x14ac:dyDescent="0.25">
      <c r="A644" s="17">
        <f>IF(OR(D644=0,D644=""),"",COUNTA($D$535:D644))</f>
        <v>95</v>
      </c>
      <c r="B644" s="17" t="s">
        <v>927</v>
      </c>
      <c r="C644" s="90" t="s">
        <v>395</v>
      </c>
      <c r="D644" s="43">
        <v>1969</v>
      </c>
      <c r="E644" s="16">
        <v>6590.98</v>
      </c>
      <c r="F644" s="16">
        <v>4421.1000000000004</v>
      </c>
      <c r="G644" s="16">
        <v>0</v>
      </c>
      <c r="H644" s="17" t="s">
        <v>257</v>
      </c>
      <c r="I644" s="15"/>
      <c r="J644" s="16"/>
      <c r="K644" s="16"/>
      <c r="L644" s="16"/>
      <c r="M644" s="18"/>
      <c r="N644" s="16"/>
      <c r="O644" s="16"/>
      <c r="P644" s="16"/>
      <c r="Q644" s="16"/>
      <c r="R644" s="16">
        <f>E644*2763</f>
        <v>18210877.739999998</v>
      </c>
      <c r="S644" s="16"/>
      <c r="T644" s="16"/>
      <c r="U644" s="16"/>
      <c r="V644" s="19">
        <f t="shared" si="178"/>
        <v>18210877.739999998</v>
      </c>
      <c r="W644" s="20" t="s">
        <v>1175</v>
      </c>
      <c r="X644" s="37">
        <v>0</v>
      </c>
      <c r="Y644" s="37">
        <v>0</v>
      </c>
      <c r="Z644" s="79">
        <v>0</v>
      </c>
      <c r="AA644" s="19">
        <f t="shared" si="179"/>
        <v>18210877.739999998</v>
      </c>
    </row>
    <row r="645" spans="1:27" s="12" customFormat="1" ht="93.75" customHeight="1" x14ac:dyDescent="0.25">
      <c r="A645" s="17">
        <f>IF(OR(D645=0,D645=""),"",COUNTA($D$535:D645))</f>
        <v>96</v>
      </c>
      <c r="B645" s="17" t="s">
        <v>881</v>
      </c>
      <c r="C645" s="90" t="s">
        <v>499</v>
      </c>
      <c r="D645" s="43">
        <v>1971</v>
      </c>
      <c r="E645" s="16">
        <v>5808</v>
      </c>
      <c r="F645" s="16">
        <v>4417.5</v>
      </c>
      <c r="G645" s="16">
        <v>0</v>
      </c>
      <c r="H645" s="17" t="s">
        <v>257</v>
      </c>
      <c r="I645" s="15"/>
      <c r="J645" s="16">
        <f>406*E645</f>
        <v>2358048</v>
      </c>
      <c r="K645" s="16">
        <f>1207*E645</f>
        <v>7010256</v>
      </c>
      <c r="L645" s="16"/>
      <c r="M645" s="16"/>
      <c r="N645" s="16"/>
      <c r="O645" s="16"/>
      <c r="P645" s="16">
        <f>2308*E645</f>
        <v>13404864</v>
      </c>
      <c r="Q645" s="16"/>
      <c r="R645" s="16"/>
      <c r="S645" s="16"/>
      <c r="T645" s="16"/>
      <c r="U645" s="16"/>
      <c r="V645" s="19">
        <f t="shared" si="178"/>
        <v>22773168</v>
      </c>
      <c r="W645" s="20" t="s">
        <v>1175</v>
      </c>
      <c r="X645" s="37">
        <v>0</v>
      </c>
      <c r="Y645" s="37">
        <v>0</v>
      </c>
      <c r="Z645" s="79">
        <v>0</v>
      </c>
      <c r="AA645" s="19">
        <f t="shared" si="179"/>
        <v>22773168</v>
      </c>
    </row>
    <row r="646" spans="1:27" s="12" customFormat="1" ht="93.75" customHeight="1" x14ac:dyDescent="0.25">
      <c r="A646" s="17">
        <f>IF(OR(D646=0,D646=""),"",COUNTA($D$535:D646))</f>
        <v>97</v>
      </c>
      <c r="B646" s="17" t="s">
        <v>784</v>
      </c>
      <c r="C646" s="90" t="s">
        <v>343</v>
      </c>
      <c r="D646" s="43">
        <v>1956</v>
      </c>
      <c r="E646" s="16">
        <v>5535.6</v>
      </c>
      <c r="F646" s="16">
        <v>3674.3</v>
      </c>
      <c r="G646" s="16">
        <v>600.6</v>
      </c>
      <c r="H646" s="26" t="s">
        <v>344</v>
      </c>
      <c r="I646" s="15"/>
      <c r="J646" s="16"/>
      <c r="K646" s="16"/>
      <c r="L646" s="16"/>
      <c r="M646" s="18"/>
      <c r="N646" s="16"/>
      <c r="O646" s="16"/>
      <c r="P646" s="16"/>
      <c r="Q646" s="16"/>
      <c r="R646" s="16">
        <f>7525*E646</f>
        <v>41655390</v>
      </c>
      <c r="S646" s="16"/>
      <c r="T646" s="16"/>
      <c r="U646" s="16"/>
      <c r="V646" s="19">
        <f t="shared" si="178"/>
        <v>41655390</v>
      </c>
      <c r="W646" s="20" t="s">
        <v>1175</v>
      </c>
      <c r="X646" s="37">
        <v>0</v>
      </c>
      <c r="Y646" s="37">
        <v>0</v>
      </c>
      <c r="Z646" s="79">
        <v>0</v>
      </c>
      <c r="AA646" s="19">
        <f t="shared" si="179"/>
        <v>41655390</v>
      </c>
    </row>
    <row r="647" spans="1:27" s="12" customFormat="1" ht="93.75" customHeight="1" x14ac:dyDescent="0.25">
      <c r="A647" s="17">
        <f>IF(OR(D647=0,D647=""),"",COUNTA($D$535:D647))</f>
        <v>98</v>
      </c>
      <c r="B647" s="17" t="s">
        <v>753</v>
      </c>
      <c r="C647" s="90" t="s">
        <v>69</v>
      </c>
      <c r="D647" s="43">
        <v>1965</v>
      </c>
      <c r="E647" s="16">
        <v>5053.8</v>
      </c>
      <c r="F647" s="16">
        <v>3133.8</v>
      </c>
      <c r="G647" s="16">
        <v>975.5</v>
      </c>
      <c r="H647" s="17" t="s">
        <v>257</v>
      </c>
      <c r="I647" s="15"/>
      <c r="J647" s="16"/>
      <c r="K647" s="16">
        <f>1207*E647</f>
        <v>6099936.6000000006</v>
      </c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9">
        <f t="shared" si="178"/>
        <v>6099936.6000000006</v>
      </c>
      <c r="W647" s="20" t="s">
        <v>1175</v>
      </c>
      <c r="X647" s="37">
        <v>0</v>
      </c>
      <c r="Y647" s="37">
        <v>0</v>
      </c>
      <c r="Z647" s="79">
        <v>0</v>
      </c>
      <c r="AA647" s="19">
        <f t="shared" si="179"/>
        <v>6099936.6000000006</v>
      </c>
    </row>
    <row r="648" spans="1:27" s="12" customFormat="1" ht="93.75" customHeight="1" x14ac:dyDescent="0.25">
      <c r="A648" s="17">
        <f>IF(OR(D648=0,D648=""),"",COUNTA($D$535:D648))</f>
        <v>99</v>
      </c>
      <c r="B648" s="17" t="s">
        <v>977</v>
      </c>
      <c r="C648" s="90" t="s">
        <v>184</v>
      </c>
      <c r="D648" s="43">
        <v>1973</v>
      </c>
      <c r="E648" s="16">
        <v>4331.6000000000004</v>
      </c>
      <c r="F648" s="16">
        <v>3375.7</v>
      </c>
      <c r="G648" s="16">
        <v>955.9</v>
      </c>
      <c r="H648" s="17" t="s">
        <v>257</v>
      </c>
      <c r="I648" s="15"/>
      <c r="J648" s="16"/>
      <c r="K648" s="16">
        <f>1207*E648</f>
        <v>5228241.2</v>
      </c>
      <c r="L648" s="16"/>
      <c r="M648" s="16">
        <f>855*E648</f>
        <v>3703518.0000000005</v>
      </c>
      <c r="N648" s="16">
        <f>383*E648</f>
        <v>1659002.8</v>
      </c>
      <c r="O648" s="16"/>
      <c r="P648" s="16"/>
      <c r="Q648" s="16"/>
      <c r="R648" s="16"/>
      <c r="S648" s="16"/>
      <c r="T648" s="16"/>
      <c r="U648" s="16"/>
      <c r="V648" s="19">
        <f t="shared" si="178"/>
        <v>10590762.000000002</v>
      </c>
      <c r="W648" s="20" t="s">
        <v>1175</v>
      </c>
      <c r="X648" s="37">
        <v>0</v>
      </c>
      <c r="Y648" s="37">
        <v>0</v>
      </c>
      <c r="Z648" s="79">
        <v>0</v>
      </c>
      <c r="AA648" s="19">
        <f t="shared" si="179"/>
        <v>10590762.000000002</v>
      </c>
    </row>
    <row r="649" spans="1:27" s="12" customFormat="1" ht="93.75" customHeight="1" x14ac:dyDescent="0.25">
      <c r="A649" s="17">
        <f>IF(OR(D649=0,D649=""),"",COUNTA($D$535:D649))</f>
        <v>100</v>
      </c>
      <c r="B649" s="17" t="s">
        <v>896</v>
      </c>
      <c r="C649" s="90" t="s">
        <v>156</v>
      </c>
      <c r="D649" s="43">
        <v>1971</v>
      </c>
      <c r="E649" s="16">
        <v>8017.5</v>
      </c>
      <c r="F649" s="16">
        <v>6232.3</v>
      </c>
      <c r="G649" s="16">
        <v>0</v>
      </c>
      <c r="H649" s="17" t="s">
        <v>257</v>
      </c>
      <c r="I649" s="15"/>
      <c r="J649" s="16"/>
      <c r="K649" s="16"/>
      <c r="L649" s="16"/>
      <c r="M649" s="18"/>
      <c r="N649" s="16"/>
      <c r="O649" s="16"/>
      <c r="P649" s="16">
        <f>2308*E649</f>
        <v>18504390</v>
      </c>
      <c r="Q649" s="16"/>
      <c r="R649" s="16">
        <f>E649*2763</f>
        <v>22152352.5</v>
      </c>
      <c r="S649" s="16"/>
      <c r="T649" s="16"/>
      <c r="U649" s="16"/>
      <c r="V649" s="19">
        <f t="shared" si="178"/>
        <v>40656742.5</v>
      </c>
      <c r="W649" s="20" t="s">
        <v>1175</v>
      </c>
      <c r="X649" s="37">
        <v>0</v>
      </c>
      <c r="Y649" s="37">
        <v>0</v>
      </c>
      <c r="Z649" s="79">
        <v>0</v>
      </c>
      <c r="AA649" s="19">
        <f t="shared" si="179"/>
        <v>40656742.5</v>
      </c>
    </row>
    <row r="650" spans="1:27" s="12" customFormat="1" ht="93.75" customHeight="1" x14ac:dyDescent="0.25">
      <c r="A650" s="17">
        <f>IF(OR(D650=0,D650=""),"",COUNTA($D$535:D650))</f>
        <v>101</v>
      </c>
      <c r="B650" s="17" t="s">
        <v>799</v>
      </c>
      <c r="C650" s="90" t="s">
        <v>484</v>
      </c>
      <c r="D650" s="43">
        <v>1978</v>
      </c>
      <c r="E650" s="16">
        <v>2906.4</v>
      </c>
      <c r="F650" s="16">
        <v>1905.9</v>
      </c>
      <c r="G650" s="16">
        <v>167.2</v>
      </c>
      <c r="H650" s="17" t="s">
        <v>255</v>
      </c>
      <c r="I650" s="15"/>
      <c r="J650" s="16"/>
      <c r="K650" s="16"/>
      <c r="L650" s="16"/>
      <c r="M650" s="18"/>
      <c r="N650" s="16"/>
      <c r="O650" s="16"/>
      <c r="P650" s="16">
        <f>E650*845</f>
        <v>2455908</v>
      </c>
      <c r="Q650" s="16"/>
      <c r="R650" s="16"/>
      <c r="S650" s="16"/>
      <c r="T650" s="16"/>
      <c r="U650" s="16"/>
      <c r="V650" s="19">
        <f t="shared" ref="V650:V703" si="180">J650+K650+L650+M650+N650+O650+P650+Q650+R650+S650+T650+U650</f>
        <v>2455908</v>
      </c>
      <c r="W650" s="20" t="s">
        <v>1175</v>
      </c>
      <c r="X650" s="37">
        <v>0</v>
      </c>
      <c r="Y650" s="37">
        <v>0</v>
      </c>
      <c r="Z650" s="79">
        <v>0</v>
      </c>
      <c r="AA650" s="19">
        <f t="shared" ref="AA650:AA703" si="181">V650-(X650+Y650+Z650)</f>
        <v>2455908</v>
      </c>
    </row>
    <row r="651" spans="1:27" s="12" customFormat="1" ht="93.75" customHeight="1" x14ac:dyDescent="0.25">
      <c r="A651" s="17">
        <f>IF(OR(D651=0,D651=""),"",COUNTA($D$535:D651))</f>
        <v>102</v>
      </c>
      <c r="B651" s="17" t="s">
        <v>706</v>
      </c>
      <c r="C651" s="90" t="s">
        <v>489</v>
      </c>
      <c r="D651" s="43">
        <v>1957</v>
      </c>
      <c r="E651" s="16">
        <v>2387.4</v>
      </c>
      <c r="F651" s="16">
        <v>1158.9000000000001</v>
      </c>
      <c r="G651" s="16">
        <v>268.39999999999998</v>
      </c>
      <c r="H651" s="17" t="s">
        <v>254</v>
      </c>
      <c r="I651" s="15"/>
      <c r="J651" s="16"/>
      <c r="K651" s="16"/>
      <c r="L651" s="16"/>
      <c r="M651" s="18"/>
      <c r="N651" s="16"/>
      <c r="O651" s="16"/>
      <c r="P651" s="16">
        <f>E651*3961</f>
        <v>9456491.4000000004</v>
      </c>
      <c r="Q651" s="16"/>
      <c r="R651" s="16"/>
      <c r="S651" s="16"/>
      <c r="T651" s="16"/>
      <c r="U651" s="16"/>
      <c r="V651" s="19">
        <f t="shared" si="180"/>
        <v>9456491.4000000004</v>
      </c>
      <c r="W651" s="20" t="s">
        <v>1175</v>
      </c>
      <c r="X651" s="37">
        <v>0</v>
      </c>
      <c r="Y651" s="37">
        <v>0</v>
      </c>
      <c r="Z651" s="79">
        <v>0</v>
      </c>
      <c r="AA651" s="19">
        <f t="shared" si="181"/>
        <v>9456491.4000000004</v>
      </c>
    </row>
    <row r="652" spans="1:27" s="12" customFormat="1" ht="93.75" customHeight="1" x14ac:dyDescent="0.25">
      <c r="A652" s="17">
        <f>IF(OR(D652=0,D652=""),"",COUNTA($D$535:D652))</f>
        <v>103</v>
      </c>
      <c r="B652" s="17" t="s">
        <v>735</v>
      </c>
      <c r="C652" s="90" t="s">
        <v>63</v>
      </c>
      <c r="D652" s="43">
        <v>1988</v>
      </c>
      <c r="E652" s="16">
        <v>7386.6</v>
      </c>
      <c r="F652" s="16">
        <v>4961.6000000000004</v>
      </c>
      <c r="G652" s="16">
        <v>0</v>
      </c>
      <c r="H652" s="17" t="s">
        <v>255</v>
      </c>
      <c r="I652" s="15"/>
      <c r="J652" s="16"/>
      <c r="K652" s="16"/>
      <c r="L652" s="16"/>
      <c r="M652" s="18"/>
      <c r="N652" s="16"/>
      <c r="O652" s="16"/>
      <c r="P652" s="16">
        <f>E652*845</f>
        <v>6241677</v>
      </c>
      <c r="Q652" s="16"/>
      <c r="R652" s="16"/>
      <c r="S652" s="16"/>
      <c r="T652" s="16"/>
      <c r="U652" s="16"/>
      <c r="V652" s="19">
        <f t="shared" si="180"/>
        <v>6241677</v>
      </c>
      <c r="W652" s="20" t="s">
        <v>1175</v>
      </c>
      <c r="X652" s="37">
        <v>0</v>
      </c>
      <c r="Y652" s="37">
        <v>0</v>
      </c>
      <c r="Z652" s="79">
        <v>0</v>
      </c>
      <c r="AA652" s="19">
        <f t="shared" si="181"/>
        <v>6241677</v>
      </c>
    </row>
    <row r="653" spans="1:27" s="12" customFormat="1" ht="93.75" customHeight="1" x14ac:dyDescent="0.25">
      <c r="A653" s="17">
        <f>IF(OR(D653=0,D653=""),"",COUNTA($D$535:D653))</f>
        <v>104</v>
      </c>
      <c r="B653" s="17" t="s">
        <v>766</v>
      </c>
      <c r="C653" s="90" t="s">
        <v>76</v>
      </c>
      <c r="D653" s="43">
        <v>1988</v>
      </c>
      <c r="E653" s="16">
        <v>5999.4</v>
      </c>
      <c r="F653" s="16">
        <v>4726.8999999999996</v>
      </c>
      <c r="G653" s="16">
        <v>1272.5</v>
      </c>
      <c r="H653" s="17" t="s">
        <v>252</v>
      </c>
      <c r="I653" s="15">
        <v>2</v>
      </c>
      <c r="J653" s="16"/>
      <c r="K653" s="16"/>
      <c r="L653" s="16"/>
      <c r="M653" s="18"/>
      <c r="N653" s="16"/>
      <c r="O653" s="16">
        <f>3100000+3400000</f>
        <v>6500000</v>
      </c>
      <c r="P653" s="16"/>
      <c r="Q653" s="16"/>
      <c r="R653" s="16"/>
      <c r="S653" s="16"/>
      <c r="T653" s="16"/>
      <c r="U653" s="16"/>
      <c r="V653" s="19">
        <f t="shared" si="180"/>
        <v>6500000</v>
      </c>
      <c r="W653" s="20" t="s">
        <v>1175</v>
      </c>
      <c r="X653" s="37">
        <v>0</v>
      </c>
      <c r="Y653" s="37">
        <v>0</v>
      </c>
      <c r="Z653" s="79">
        <v>0</v>
      </c>
      <c r="AA653" s="19">
        <f t="shared" si="181"/>
        <v>6500000</v>
      </c>
    </row>
    <row r="654" spans="1:27" s="12" customFormat="1" ht="93.75" customHeight="1" x14ac:dyDescent="0.25">
      <c r="A654" s="17">
        <f>IF(OR(D654=0,D654=""),"",COUNTA($D$535:D654))</f>
        <v>105</v>
      </c>
      <c r="B654" s="17" t="s">
        <v>928</v>
      </c>
      <c r="C654" s="90" t="s">
        <v>396</v>
      </c>
      <c r="D654" s="43">
        <v>1968</v>
      </c>
      <c r="E654" s="16">
        <v>4353.88</v>
      </c>
      <c r="F654" s="16">
        <v>2717.8</v>
      </c>
      <c r="G654" s="16">
        <v>880.1</v>
      </c>
      <c r="H654" s="17" t="s">
        <v>257</v>
      </c>
      <c r="I654" s="15"/>
      <c r="J654" s="16"/>
      <c r="K654" s="16"/>
      <c r="L654" s="16"/>
      <c r="M654" s="18"/>
      <c r="N654" s="16"/>
      <c r="O654" s="16"/>
      <c r="P654" s="16"/>
      <c r="Q654" s="16"/>
      <c r="R654" s="16">
        <f>E654*2763</f>
        <v>12029770.439999999</v>
      </c>
      <c r="S654" s="16"/>
      <c r="T654" s="16"/>
      <c r="U654" s="16"/>
      <c r="V654" s="19">
        <f t="shared" ref="V654:V655" si="182">J654+K654+L654+M654+N654+O654+P654+Q654+R654+S654+T654+U654</f>
        <v>12029770.439999999</v>
      </c>
      <c r="W654" s="20" t="s">
        <v>1175</v>
      </c>
      <c r="X654" s="37">
        <v>0</v>
      </c>
      <c r="Y654" s="37">
        <v>0</v>
      </c>
      <c r="Z654" s="79">
        <v>0</v>
      </c>
      <c r="AA654" s="19">
        <f t="shared" ref="AA654:AA655" si="183">V654-(X654+Y654+Z654)</f>
        <v>12029770.439999999</v>
      </c>
    </row>
    <row r="655" spans="1:27" s="12" customFormat="1" ht="93.75" customHeight="1" x14ac:dyDescent="0.25">
      <c r="A655" s="17">
        <f>IF(OR(D655=0,D655=""),"",COUNTA($D$535:D655))</f>
        <v>106</v>
      </c>
      <c r="B655" s="17" t="s">
        <v>930</v>
      </c>
      <c r="C655" s="90" t="s">
        <v>397</v>
      </c>
      <c r="D655" s="43">
        <v>1967</v>
      </c>
      <c r="E655" s="16">
        <v>4353.88</v>
      </c>
      <c r="F655" s="16">
        <v>2727.7</v>
      </c>
      <c r="G655" s="16">
        <v>1040.2</v>
      </c>
      <c r="H655" s="17" t="s">
        <v>257</v>
      </c>
      <c r="I655" s="15"/>
      <c r="J655" s="16"/>
      <c r="K655" s="16"/>
      <c r="L655" s="16"/>
      <c r="M655" s="18"/>
      <c r="N655" s="16"/>
      <c r="O655" s="16"/>
      <c r="P655" s="16"/>
      <c r="Q655" s="16"/>
      <c r="R655" s="16">
        <f>E655*2763</f>
        <v>12029770.439999999</v>
      </c>
      <c r="S655" s="16"/>
      <c r="T655" s="16"/>
      <c r="U655" s="16"/>
      <c r="V655" s="19">
        <f t="shared" si="182"/>
        <v>12029770.439999999</v>
      </c>
      <c r="W655" s="20" t="s">
        <v>1175</v>
      </c>
      <c r="X655" s="37">
        <v>0</v>
      </c>
      <c r="Y655" s="37">
        <v>0</v>
      </c>
      <c r="Z655" s="79">
        <v>0</v>
      </c>
      <c r="AA655" s="19">
        <f t="shared" si="183"/>
        <v>12029770.439999999</v>
      </c>
    </row>
    <row r="656" spans="1:27" s="12" customFormat="1" ht="93.75" customHeight="1" x14ac:dyDescent="0.25">
      <c r="A656" s="17">
        <f>IF(OR(D656=0,D656=""),"",COUNTA($D$535:D656))</f>
        <v>107</v>
      </c>
      <c r="B656" s="17" t="s">
        <v>726</v>
      </c>
      <c r="C656" s="90" t="s">
        <v>58</v>
      </c>
      <c r="D656" s="43">
        <v>1969</v>
      </c>
      <c r="E656" s="16">
        <v>5780</v>
      </c>
      <c r="F656" s="16">
        <v>4423.6000000000004</v>
      </c>
      <c r="G656" s="16">
        <v>0</v>
      </c>
      <c r="H656" s="17" t="s">
        <v>257</v>
      </c>
      <c r="I656" s="15"/>
      <c r="J656" s="16"/>
      <c r="K656" s="16"/>
      <c r="L656" s="16"/>
      <c r="M656" s="18"/>
      <c r="N656" s="16"/>
      <c r="O656" s="16"/>
      <c r="P656" s="16">
        <f>2308*E656</f>
        <v>13340240</v>
      </c>
      <c r="Q656" s="16"/>
      <c r="R656" s="16"/>
      <c r="S656" s="16"/>
      <c r="T656" s="16"/>
      <c r="U656" s="16"/>
      <c r="V656" s="19">
        <f t="shared" si="180"/>
        <v>13340240</v>
      </c>
      <c r="W656" s="20" t="s">
        <v>1175</v>
      </c>
      <c r="X656" s="37">
        <v>0</v>
      </c>
      <c r="Y656" s="37">
        <v>0</v>
      </c>
      <c r="Z656" s="79">
        <v>0</v>
      </c>
      <c r="AA656" s="19">
        <f t="shared" si="181"/>
        <v>13340240</v>
      </c>
    </row>
    <row r="657" spans="1:27" s="12" customFormat="1" ht="93.75" customHeight="1" x14ac:dyDescent="0.25">
      <c r="A657" s="17">
        <f>IF(OR(D657=0,D657=""),"",COUNTA($D$535:D657))</f>
        <v>108</v>
      </c>
      <c r="B657" s="17" t="s">
        <v>754</v>
      </c>
      <c r="C657" s="90" t="s">
        <v>70</v>
      </c>
      <c r="D657" s="43">
        <v>1966</v>
      </c>
      <c r="E657" s="16">
        <v>3934.1</v>
      </c>
      <c r="F657" s="16">
        <v>2550.6999999999998</v>
      </c>
      <c r="G657" s="16">
        <v>150.5</v>
      </c>
      <c r="H657" s="17" t="s">
        <v>257</v>
      </c>
      <c r="I657" s="15"/>
      <c r="J657" s="16"/>
      <c r="K657" s="16"/>
      <c r="L657" s="16">
        <f>484*E657</f>
        <v>1904104.4</v>
      </c>
      <c r="M657" s="18"/>
      <c r="N657" s="16"/>
      <c r="O657" s="16"/>
      <c r="P657" s="16"/>
      <c r="Q657" s="16"/>
      <c r="R657" s="16"/>
      <c r="S657" s="16"/>
      <c r="T657" s="16">
        <f>35*E657</f>
        <v>137693.5</v>
      </c>
      <c r="U657" s="16">
        <f t="shared" ref="U657" si="184">(J657+K657+L657+M657+N657+O657+P657+Q657+R657+S657+T657)*0.0214</f>
        <v>43694.475059999997</v>
      </c>
      <c r="V657" s="19">
        <f t="shared" si="180"/>
        <v>2085492.37506</v>
      </c>
      <c r="W657" s="20" t="s">
        <v>1175</v>
      </c>
      <c r="X657" s="37">
        <v>0</v>
      </c>
      <c r="Y657" s="37">
        <v>0</v>
      </c>
      <c r="Z657" s="79">
        <v>0</v>
      </c>
      <c r="AA657" s="19">
        <f t="shared" si="181"/>
        <v>2085492.37506</v>
      </c>
    </row>
    <row r="658" spans="1:27" s="12" customFormat="1" ht="93.75" customHeight="1" x14ac:dyDescent="0.25">
      <c r="A658" s="17">
        <f>IF(OR(D658=0,D658=""),"",COUNTA($D$535:D658))</f>
        <v>109</v>
      </c>
      <c r="B658" s="17" t="s">
        <v>833</v>
      </c>
      <c r="C658" s="90" t="s">
        <v>116</v>
      </c>
      <c r="D658" s="43">
        <v>1966</v>
      </c>
      <c r="E658" s="16">
        <v>4600</v>
      </c>
      <c r="F658" s="16">
        <v>3112.6</v>
      </c>
      <c r="G658" s="16">
        <v>58.9</v>
      </c>
      <c r="H658" s="17" t="s">
        <v>257</v>
      </c>
      <c r="I658" s="15"/>
      <c r="J658" s="16"/>
      <c r="K658" s="16"/>
      <c r="L658" s="16"/>
      <c r="M658" s="18"/>
      <c r="N658" s="16"/>
      <c r="O658" s="16"/>
      <c r="P658" s="16">
        <f t="shared" ref="P658:P663" si="185">2308*E658</f>
        <v>10616800</v>
      </c>
      <c r="Q658" s="16"/>
      <c r="R658" s="16"/>
      <c r="S658" s="16"/>
      <c r="T658" s="16"/>
      <c r="U658" s="16"/>
      <c r="V658" s="19">
        <f t="shared" si="180"/>
        <v>10616800</v>
      </c>
      <c r="W658" s="20" t="s">
        <v>1175</v>
      </c>
      <c r="X658" s="37">
        <v>0</v>
      </c>
      <c r="Y658" s="37">
        <v>0</v>
      </c>
      <c r="Z658" s="79">
        <v>0</v>
      </c>
      <c r="AA658" s="19">
        <f t="shared" si="181"/>
        <v>10616800</v>
      </c>
    </row>
    <row r="659" spans="1:27" s="12" customFormat="1" ht="93.75" customHeight="1" x14ac:dyDescent="0.25">
      <c r="A659" s="17">
        <f>IF(OR(D659=0,D659=""),"",COUNTA($D$535:D659))</f>
        <v>110</v>
      </c>
      <c r="B659" s="17" t="s">
        <v>859</v>
      </c>
      <c r="C659" s="90" t="s">
        <v>138</v>
      </c>
      <c r="D659" s="43">
        <v>1966</v>
      </c>
      <c r="E659" s="16">
        <v>4687.5</v>
      </c>
      <c r="F659" s="16">
        <v>3522.3</v>
      </c>
      <c r="G659" s="16">
        <v>0</v>
      </c>
      <c r="H659" s="17" t="s">
        <v>257</v>
      </c>
      <c r="I659" s="15"/>
      <c r="J659" s="16">
        <f>406*E659</f>
        <v>1903125</v>
      </c>
      <c r="K659" s="16">
        <f>1207*E659</f>
        <v>5657812.5</v>
      </c>
      <c r="L659" s="16"/>
      <c r="M659" s="16">
        <f>855*E659</f>
        <v>4007812.5</v>
      </c>
      <c r="N659" s="16">
        <f>383*E659</f>
        <v>1795312.5</v>
      </c>
      <c r="O659" s="16"/>
      <c r="P659" s="16">
        <f t="shared" si="185"/>
        <v>10818750</v>
      </c>
      <c r="Q659" s="16">
        <f>E659*297</f>
        <v>1392187.5</v>
      </c>
      <c r="R659" s="16"/>
      <c r="S659" s="16">
        <f>E659*102</f>
        <v>478125</v>
      </c>
      <c r="T659" s="16"/>
      <c r="U659" s="16"/>
      <c r="V659" s="19">
        <f t="shared" si="180"/>
        <v>26053125</v>
      </c>
      <c r="W659" s="20" t="s">
        <v>1175</v>
      </c>
      <c r="X659" s="37">
        <v>0</v>
      </c>
      <c r="Y659" s="37">
        <v>0</v>
      </c>
      <c r="Z659" s="79">
        <v>0</v>
      </c>
      <c r="AA659" s="19">
        <f t="shared" si="181"/>
        <v>26053125</v>
      </c>
    </row>
    <row r="660" spans="1:27" s="12" customFormat="1" ht="93.75" customHeight="1" x14ac:dyDescent="0.25">
      <c r="A660" s="17">
        <f>IF(OR(D660=0,D660=""),"",COUNTA($D$535:D660))</f>
        <v>111</v>
      </c>
      <c r="B660" s="17" t="s">
        <v>892</v>
      </c>
      <c r="C660" s="90" t="s">
        <v>154</v>
      </c>
      <c r="D660" s="43">
        <v>1966</v>
      </c>
      <c r="E660" s="16">
        <v>2590.1</v>
      </c>
      <c r="F660" s="16">
        <v>2480.8000000000002</v>
      </c>
      <c r="G660" s="16">
        <v>0</v>
      </c>
      <c r="H660" s="17" t="s">
        <v>257</v>
      </c>
      <c r="I660" s="15"/>
      <c r="J660" s="16"/>
      <c r="K660" s="16"/>
      <c r="L660" s="16"/>
      <c r="M660" s="16"/>
      <c r="N660" s="16"/>
      <c r="O660" s="16"/>
      <c r="P660" s="16">
        <f t="shared" si="185"/>
        <v>5977950.7999999998</v>
      </c>
      <c r="Q660" s="16"/>
      <c r="R660" s="16"/>
      <c r="S660" s="16"/>
      <c r="T660" s="16"/>
      <c r="U660" s="16"/>
      <c r="V660" s="19">
        <f t="shared" si="180"/>
        <v>5977950.7999999998</v>
      </c>
      <c r="W660" s="20" t="s">
        <v>1175</v>
      </c>
      <c r="X660" s="37">
        <v>0</v>
      </c>
      <c r="Y660" s="37">
        <v>0</v>
      </c>
      <c r="Z660" s="79">
        <v>0</v>
      </c>
      <c r="AA660" s="19">
        <f t="shared" si="181"/>
        <v>5977950.7999999998</v>
      </c>
    </row>
    <row r="661" spans="1:27" s="12" customFormat="1" ht="93.75" customHeight="1" x14ac:dyDescent="0.25">
      <c r="A661" s="17">
        <f>IF(OR(D661=0,D661=""),"",COUNTA($D$535:D661))</f>
        <v>112</v>
      </c>
      <c r="B661" s="17" t="s">
        <v>893</v>
      </c>
      <c r="C661" s="90" t="s">
        <v>155</v>
      </c>
      <c r="D661" s="43">
        <v>1966</v>
      </c>
      <c r="E661" s="16">
        <v>1682.1</v>
      </c>
      <c r="F661" s="16">
        <v>1494.4</v>
      </c>
      <c r="G661" s="16">
        <v>70.2</v>
      </c>
      <c r="H661" s="17" t="s">
        <v>257</v>
      </c>
      <c r="I661" s="15"/>
      <c r="J661" s="16"/>
      <c r="K661" s="16"/>
      <c r="L661" s="16"/>
      <c r="M661" s="16"/>
      <c r="N661" s="16"/>
      <c r="O661" s="16"/>
      <c r="P661" s="16">
        <f t="shared" si="185"/>
        <v>3882286.8</v>
      </c>
      <c r="Q661" s="16"/>
      <c r="R661" s="16"/>
      <c r="S661" s="16"/>
      <c r="T661" s="16"/>
      <c r="U661" s="16"/>
      <c r="V661" s="19">
        <f t="shared" si="180"/>
        <v>3882286.8</v>
      </c>
      <c r="W661" s="20" t="s">
        <v>1175</v>
      </c>
      <c r="X661" s="37">
        <v>0</v>
      </c>
      <c r="Y661" s="37">
        <v>0</v>
      </c>
      <c r="Z661" s="79">
        <v>0</v>
      </c>
      <c r="AA661" s="19">
        <f t="shared" si="181"/>
        <v>3882286.8</v>
      </c>
    </row>
    <row r="662" spans="1:27" s="12" customFormat="1" ht="93.75" customHeight="1" x14ac:dyDescent="0.25">
      <c r="A662" s="17">
        <f>IF(OR(D662=0,D662=""),"",COUNTA($D$535:D662))</f>
        <v>113</v>
      </c>
      <c r="B662" s="17" t="s">
        <v>907</v>
      </c>
      <c r="C662" s="90" t="s">
        <v>160</v>
      </c>
      <c r="D662" s="43">
        <v>1966</v>
      </c>
      <c r="E662" s="16">
        <v>3266.1</v>
      </c>
      <c r="F662" s="16">
        <v>2547.3000000000002</v>
      </c>
      <c r="G662" s="16">
        <v>0</v>
      </c>
      <c r="H662" s="17" t="s">
        <v>257</v>
      </c>
      <c r="I662" s="15"/>
      <c r="J662" s="16"/>
      <c r="K662" s="16"/>
      <c r="L662" s="16"/>
      <c r="M662" s="16"/>
      <c r="N662" s="16"/>
      <c r="O662" s="16"/>
      <c r="P662" s="16">
        <f t="shared" si="185"/>
        <v>7538158.7999999998</v>
      </c>
      <c r="Q662" s="16"/>
      <c r="R662" s="16"/>
      <c r="S662" s="16"/>
      <c r="T662" s="16"/>
      <c r="U662" s="16"/>
      <c r="V662" s="19">
        <f t="shared" si="180"/>
        <v>7538158.7999999998</v>
      </c>
      <c r="W662" s="20" t="s">
        <v>1175</v>
      </c>
      <c r="X662" s="37">
        <v>0</v>
      </c>
      <c r="Y662" s="37">
        <v>0</v>
      </c>
      <c r="Z662" s="79">
        <v>0</v>
      </c>
      <c r="AA662" s="19">
        <f t="shared" si="181"/>
        <v>7538158.7999999998</v>
      </c>
    </row>
    <row r="663" spans="1:27" s="12" customFormat="1" ht="93.75" customHeight="1" x14ac:dyDescent="0.25">
      <c r="A663" s="17">
        <f>IF(OR(D663=0,D663=""),"",COUNTA($D$535:D663))</f>
        <v>114</v>
      </c>
      <c r="B663" s="17" t="s">
        <v>908</v>
      </c>
      <c r="C663" s="90" t="s">
        <v>161</v>
      </c>
      <c r="D663" s="43">
        <v>1966</v>
      </c>
      <c r="E663" s="15">
        <v>3121.15</v>
      </c>
      <c r="F663" s="15">
        <v>2440.0500000000002</v>
      </c>
      <c r="G663" s="16">
        <v>44.4</v>
      </c>
      <c r="H663" s="17" t="s">
        <v>257</v>
      </c>
      <c r="I663" s="15"/>
      <c r="J663" s="16">
        <f>406*E663</f>
        <v>1267186.9000000001</v>
      </c>
      <c r="K663" s="16">
        <f>1207*E663</f>
        <v>3767228.0500000003</v>
      </c>
      <c r="L663" s="16"/>
      <c r="M663" s="16"/>
      <c r="N663" s="16"/>
      <c r="O663" s="16"/>
      <c r="P663" s="16">
        <f t="shared" si="185"/>
        <v>7203614.2000000002</v>
      </c>
      <c r="Q663" s="16"/>
      <c r="R663" s="16"/>
      <c r="S663" s="16"/>
      <c r="T663" s="16"/>
      <c r="U663" s="16"/>
      <c r="V663" s="19">
        <f t="shared" si="180"/>
        <v>12238029.15</v>
      </c>
      <c r="W663" s="20" t="s">
        <v>1175</v>
      </c>
      <c r="X663" s="37">
        <v>0</v>
      </c>
      <c r="Y663" s="37">
        <v>0</v>
      </c>
      <c r="Z663" s="79">
        <v>0</v>
      </c>
      <c r="AA663" s="19">
        <f t="shared" si="181"/>
        <v>12238029.15</v>
      </c>
    </row>
    <row r="664" spans="1:27" s="12" customFormat="1" ht="93.75" customHeight="1" x14ac:dyDescent="0.25">
      <c r="A664" s="17">
        <f>IF(OR(D664=0,D664=""),"",COUNTA($D$535:D664))</f>
        <v>115</v>
      </c>
      <c r="B664" s="17" t="s">
        <v>911</v>
      </c>
      <c r="C664" s="90" t="s">
        <v>163</v>
      </c>
      <c r="D664" s="43">
        <v>1966</v>
      </c>
      <c r="E664" s="16">
        <v>4723.6000000000004</v>
      </c>
      <c r="F664" s="16">
        <v>3223.7</v>
      </c>
      <c r="G664" s="16">
        <v>0</v>
      </c>
      <c r="H664" s="17" t="s">
        <v>257</v>
      </c>
      <c r="I664" s="15"/>
      <c r="J664" s="16"/>
      <c r="K664" s="16"/>
      <c r="L664" s="16"/>
      <c r="M664" s="18"/>
      <c r="N664" s="16"/>
      <c r="O664" s="16"/>
      <c r="P664" s="16"/>
      <c r="Q664" s="16"/>
      <c r="R664" s="16">
        <f>E664*2763</f>
        <v>13051306.800000001</v>
      </c>
      <c r="S664" s="16"/>
      <c r="T664" s="16"/>
      <c r="U664" s="16"/>
      <c r="V664" s="19">
        <f t="shared" si="180"/>
        <v>13051306.800000001</v>
      </c>
      <c r="W664" s="20" t="s">
        <v>1175</v>
      </c>
      <c r="X664" s="37">
        <v>0</v>
      </c>
      <c r="Y664" s="37">
        <v>0</v>
      </c>
      <c r="Z664" s="79">
        <v>0</v>
      </c>
      <c r="AA664" s="19">
        <f t="shared" si="181"/>
        <v>13051306.800000001</v>
      </c>
    </row>
    <row r="665" spans="1:27" s="12" customFormat="1" ht="93.75" customHeight="1" x14ac:dyDescent="0.25">
      <c r="A665" s="17">
        <f>IF(OR(D665=0,D665=""),"",COUNTA($D$535:D665))</f>
        <v>116</v>
      </c>
      <c r="B665" s="17" t="s">
        <v>912</v>
      </c>
      <c r="C665" s="90" t="s">
        <v>164</v>
      </c>
      <c r="D665" s="43">
        <v>1966</v>
      </c>
      <c r="E665" s="16">
        <v>4713.3</v>
      </c>
      <c r="F665" s="16">
        <v>3502.1</v>
      </c>
      <c r="G665" s="16">
        <v>0</v>
      </c>
      <c r="H665" s="17" t="s">
        <v>257</v>
      </c>
      <c r="I665" s="15"/>
      <c r="J665" s="16"/>
      <c r="K665" s="16"/>
      <c r="L665" s="16"/>
      <c r="M665" s="18"/>
      <c r="N665" s="16"/>
      <c r="O665" s="16"/>
      <c r="P665" s="16">
        <f>2308*E665</f>
        <v>10878296.4</v>
      </c>
      <c r="Q665" s="16"/>
      <c r="R665" s="16">
        <f>E665*2763</f>
        <v>13022847.9</v>
      </c>
      <c r="S665" s="16"/>
      <c r="T665" s="16"/>
      <c r="U665" s="16"/>
      <c r="V665" s="19">
        <f t="shared" si="180"/>
        <v>23901144.300000001</v>
      </c>
      <c r="W665" s="20" t="s">
        <v>1175</v>
      </c>
      <c r="X665" s="37">
        <v>0</v>
      </c>
      <c r="Y665" s="37">
        <v>0</v>
      </c>
      <c r="Z665" s="79">
        <v>0</v>
      </c>
      <c r="AA665" s="19">
        <f t="shared" si="181"/>
        <v>23901144.300000001</v>
      </c>
    </row>
    <row r="666" spans="1:27" s="12" customFormat="1" ht="93.75" customHeight="1" x14ac:dyDescent="0.25">
      <c r="A666" s="17">
        <f>IF(OR(D666=0,D666=""),"",COUNTA($D$535:D666))</f>
        <v>117</v>
      </c>
      <c r="B666" s="17" t="s">
        <v>940</v>
      </c>
      <c r="C666" s="90" t="s">
        <v>174</v>
      </c>
      <c r="D666" s="43">
        <v>1966</v>
      </c>
      <c r="E666" s="16">
        <v>4509.6000000000004</v>
      </c>
      <c r="F666" s="16">
        <v>2474</v>
      </c>
      <c r="G666" s="16">
        <v>412.3</v>
      </c>
      <c r="H666" s="17" t="s">
        <v>257</v>
      </c>
      <c r="I666" s="15"/>
      <c r="J666" s="16"/>
      <c r="K666" s="16"/>
      <c r="L666" s="16"/>
      <c r="M666" s="16"/>
      <c r="N666" s="16"/>
      <c r="O666" s="16"/>
      <c r="P666" s="16"/>
      <c r="Q666" s="16"/>
      <c r="R666" s="16">
        <f>E666*2763</f>
        <v>12460024.800000001</v>
      </c>
      <c r="S666" s="16"/>
      <c r="T666" s="16"/>
      <c r="U666" s="16"/>
      <c r="V666" s="19">
        <f t="shared" si="180"/>
        <v>12460024.800000001</v>
      </c>
      <c r="W666" s="20" t="s">
        <v>1175</v>
      </c>
      <c r="X666" s="37">
        <v>0</v>
      </c>
      <c r="Y666" s="37">
        <v>0</v>
      </c>
      <c r="Z666" s="79">
        <v>0</v>
      </c>
      <c r="AA666" s="19">
        <f t="shared" si="181"/>
        <v>12460024.800000001</v>
      </c>
    </row>
    <row r="667" spans="1:27" s="12" customFormat="1" ht="93.75" customHeight="1" x14ac:dyDescent="0.25">
      <c r="A667" s="17">
        <f>IF(OR(D667=0,D667=""),"",COUNTA($D$535:D667))</f>
        <v>118</v>
      </c>
      <c r="B667" s="17" t="s">
        <v>952</v>
      </c>
      <c r="C667" s="90" t="s">
        <v>180</v>
      </c>
      <c r="D667" s="43">
        <v>1966</v>
      </c>
      <c r="E667" s="16">
        <v>4489.8</v>
      </c>
      <c r="F667" s="16">
        <v>3498.2</v>
      </c>
      <c r="G667" s="16">
        <v>991.6</v>
      </c>
      <c r="H667" s="17" t="s">
        <v>257</v>
      </c>
      <c r="I667" s="15"/>
      <c r="J667" s="16">
        <f>406*E667</f>
        <v>1822858.8</v>
      </c>
      <c r="K667" s="16"/>
      <c r="L667" s="16"/>
      <c r="M667" s="16"/>
      <c r="N667" s="16"/>
      <c r="O667" s="16"/>
      <c r="P667" s="27"/>
      <c r="Q667" s="16"/>
      <c r="R667" s="16"/>
      <c r="S667" s="16"/>
      <c r="T667" s="16"/>
      <c r="U667" s="15"/>
      <c r="V667" s="19">
        <f t="shared" si="180"/>
        <v>1822858.8</v>
      </c>
      <c r="W667" s="20" t="s">
        <v>1175</v>
      </c>
      <c r="X667" s="37">
        <v>0</v>
      </c>
      <c r="Y667" s="37">
        <v>0</v>
      </c>
      <c r="Z667" s="79">
        <v>0</v>
      </c>
      <c r="AA667" s="19">
        <f t="shared" si="181"/>
        <v>1822858.8</v>
      </c>
    </row>
    <row r="668" spans="1:27" s="12" customFormat="1" ht="93.75" customHeight="1" x14ac:dyDescent="0.25">
      <c r="A668" s="17">
        <f>IF(OR(D668=0,D668=""),"",COUNTA($D$535:D668))</f>
        <v>119</v>
      </c>
      <c r="B668" s="17" t="s">
        <v>976</v>
      </c>
      <c r="C668" s="90" t="s">
        <v>559</v>
      </c>
      <c r="D668" s="43">
        <v>1982</v>
      </c>
      <c r="E668" s="16">
        <v>3921.4</v>
      </c>
      <c r="F668" s="16">
        <v>2793.7</v>
      </c>
      <c r="G668" s="16">
        <v>948.3</v>
      </c>
      <c r="H668" s="17" t="s">
        <v>257</v>
      </c>
      <c r="I668" s="15"/>
      <c r="J668" s="16"/>
      <c r="K668" s="16"/>
      <c r="L668" s="16"/>
      <c r="M668" s="16"/>
      <c r="N668" s="16"/>
      <c r="O668" s="16"/>
      <c r="P668" s="16">
        <f>2308*E668</f>
        <v>9050591.2000000011</v>
      </c>
      <c r="Q668" s="16"/>
      <c r="R668" s="16"/>
      <c r="S668" s="16"/>
      <c r="T668" s="16"/>
      <c r="U668" s="15"/>
      <c r="V668" s="19">
        <f t="shared" si="180"/>
        <v>9050591.2000000011</v>
      </c>
      <c r="W668" s="20" t="s">
        <v>1175</v>
      </c>
      <c r="X668" s="37">
        <v>0</v>
      </c>
      <c r="Y668" s="37">
        <v>0</v>
      </c>
      <c r="Z668" s="79">
        <v>0</v>
      </c>
      <c r="AA668" s="19">
        <f t="shared" si="181"/>
        <v>9050591.2000000011</v>
      </c>
    </row>
    <row r="669" spans="1:27" s="12" customFormat="1" ht="93.75" customHeight="1" x14ac:dyDescent="0.25">
      <c r="A669" s="17">
        <f>IF(OR(D669=0,D669=""),"",COUNTA($D$535:D669))</f>
        <v>120</v>
      </c>
      <c r="B669" s="17" t="s">
        <v>738</v>
      </c>
      <c r="C669" s="95" t="s">
        <v>65</v>
      </c>
      <c r="D669" s="15">
        <v>1991</v>
      </c>
      <c r="E669" s="46">
        <v>20009.3</v>
      </c>
      <c r="F669" s="46">
        <v>17043.400000000001</v>
      </c>
      <c r="G669" s="16">
        <v>0</v>
      </c>
      <c r="H669" s="17" t="s">
        <v>255</v>
      </c>
      <c r="I669" s="15"/>
      <c r="J669" s="16"/>
      <c r="K669" s="16"/>
      <c r="L669" s="16"/>
      <c r="M669" s="16">
        <f>E669*212</f>
        <v>4241971.5999999996</v>
      </c>
      <c r="N669" s="16"/>
      <c r="O669" s="16"/>
      <c r="P669" s="16"/>
      <c r="Q669" s="16"/>
      <c r="R669" s="16"/>
      <c r="S669" s="16"/>
      <c r="T669" s="16"/>
      <c r="U669" s="15"/>
      <c r="V669" s="19">
        <f t="shared" ref="V669" si="186">J669+K669+L669+M669+N669+O669+P669+Q669+R669+S669+T669+U669</f>
        <v>4241971.5999999996</v>
      </c>
      <c r="W669" s="20" t="s">
        <v>1175</v>
      </c>
      <c r="X669" s="37">
        <v>0</v>
      </c>
      <c r="Y669" s="37">
        <v>0</v>
      </c>
      <c r="Z669" s="79">
        <v>0</v>
      </c>
      <c r="AA669" s="19">
        <f t="shared" ref="AA669" si="187">V669-(X669+Y669+Z669)</f>
        <v>4241971.5999999996</v>
      </c>
    </row>
    <row r="670" spans="1:27" s="12" customFormat="1" ht="93.75" customHeight="1" x14ac:dyDescent="0.25">
      <c r="A670" s="17">
        <f>IF(OR(D670=0,D670=""),"",COUNTA($D$535:D670))</f>
        <v>121</v>
      </c>
      <c r="B670" s="17" t="s">
        <v>978</v>
      </c>
      <c r="C670" s="90" t="s">
        <v>185</v>
      </c>
      <c r="D670" s="43">
        <v>1966</v>
      </c>
      <c r="E670" s="16">
        <v>4537.8</v>
      </c>
      <c r="F670" s="16">
        <v>3493.3</v>
      </c>
      <c r="G670" s="16">
        <v>967.6</v>
      </c>
      <c r="H670" s="17" t="s">
        <v>257</v>
      </c>
      <c r="I670" s="15"/>
      <c r="J670" s="16">
        <f>406*E670</f>
        <v>1842346.8</v>
      </c>
      <c r="K670" s="16"/>
      <c r="L670" s="16"/>
      <c r="M670" s="16"/>
      <c r="N670" s="16"/>
      <c r="O670" s="16"/>
      <c r="P670" s="27"/>
      <c r="Q670" s="16"/>
      <c r="R670" s="16"/>
      <c r="S670" s="16"/>
      <c r="T670" s="16"/>
      <c r="U670" s="15"/>
      <c r="V670" s="19">
        <f t="shared" si="180"/>
        <v>1842346.8</v>
      </c>
      <c r="W670" s="20" t="s">
        <v>1175</v>
      </c>
      <c r="X670" s="37">
        <v>0</v>
      </c>
      <c r="Y670" s="37">
        <v>0</v>
      </c>
      <c r="Z670" s="79">
        <v>0</v>
      </c>
      <c r="AA670" s="19">
        <f t="shared" si="181"/>
        <v>1842346.8</v>
      </c>
    </row>
    <row r="671" spans="1:27" s="12" customFormat="1" ht="93.75" customHeight="1" x14ac:dyDescent="0.25">
      <c r="A671" s="17">
        <f>IF(OR(D671=0,D671=""),"",COUNTA($D$535:D671))</f>
        <v>122</v>
      </c>
      <c r="B671" s="17" t="s">
        <v>979</v>
      </c>
      <c r="C671" s="90" t="s">
        <v>186</v>
      </c>
      <c r="D671" s="43">
        <v>1966</v>
      </c>
      <c r="E671" s="16">
        <v>4710</v>
      </c>
      <c r="F671" s="16">
        <v>3502.3</v>
      </c>
      <c r="G671" s="16">
        <v>29.8</v>
      </c>
      <c r="H671" s="17" t="s">
        <v>257</v>
      </c>
      <c r="I671" s="15"/>
      <c r="J671" s="16">
        <f>406*E671</f>
        <v>1912260</v>
      </c>
      <c r="K671" s="16"/>
      <c r="L671" s="16"/>
      <c r="M671" s="16"/>
      <c r="N671" s="16"/>
      <c r="O671" s="16"/>
      <c r="P671" s="27"/>
      <c r="Q671" s="16"/>
      <c r="R671" s="16"/>
      <c r="S671" s="16"/>
      <c r="T671" s="16"/>
      <c r="U671" s="15"/>
      <c r="V671" s="19">
        <f t="shared" si="180"/>
        <v>1912260</v>
      </c>
      <c r="W671" s="20" t="s">
        <v>1175</v>
      </c>
      <c r="X671" s="37">
        <v>0</v>
      </c>
      <c r="Y671" s="37">
        <v>0</v>
      </c>
      <c r="Z671" s="79">
        <v>0</v>
      </c>
      <c r="AA671" s="19">
        <f t="shared" si="181"/>
        <v>1912260</v>
      </c>
    </row>
    <row r="672" spans="1:27" s="12" customFormat="1" ht="93.75" customHeight="1" x14ac:dyDescent="0.25">
      <c r="A672" s="17">
        <f>IF(OR(D672=0,D672=""),"",COUNTA($D$535:D672))</f>
        <v>123</v>
      </c>
      <c r="B672" s="17" t="s">
        <v>980</v>
      </c>
      <c r="C672" s="90" t="s">
        <v>187</v>
      </c>
      <c r="D672" s="43">
        <v>1966</v>
      </c>
      <c r="E672" s="16">
        <v>3299.9</v>
      </c>
      <c r="F672" s="16">
        <v>2569.5</v>
      </c>
      <c r="G672" s="16">
        <v>730.4</v>
      </c>
      <c r="H672" s="17" t="s">
        <v>257</v>
      </c>
      <c r="I672" s="15"/>
      <c r="J672" s="16">
        <f>406*E672</f>
        <v>1339759.4000000001</v>
      </c>
      <c r="K672" s="16"/>
      <c r="L672" s="16"/>
      <c r="M672" s="16"/>
      <c r="N672" s="16"/>
      <c r="O672" s="16"/>
      <c r="P672" s="16">
        <f>2308*E672</f>
        <v>7616169.2000000002</v>
      </c>
      <c r="Q672" s="16"/>
      <c r="R672" s="16"/>
      <c r="S672" s="16"/>
      <c r="T672" s="16"/>
      <c r="U672" s="16"/>
      <c r="V672" s="19">
        <f t="shared" si="180"/>
        <v>8955928.5999999996</v>
      </c>
      <c r="W672" s="20" t="s">
        <v>1175</v>
      </c>
      <c r="X672" s="37">
        <v>0</v>
      </c>
      <c r="Y672" s="37">
        <v>0</v>
      </c>
      <c r="Z672" s="79">
        <v>0</v>
      </c>
      <c r="AA672" s="19">
        <f t="shared" si="181"/>
        <v>8955928.5999999996</v>
      </c>
    </row>
    <row r="673" spans="1:27" s="12" customFormat="1" ht="93.75" customHeight="1" x14ac:dyDescent="0.25">
      <c r="A673" s="17">
        <f>IF(OR(D673=0,D673=""),"",COUNTA($D$535:D673))</f>
        <v>124</v>
      </c>
      <c r="B673" s="17" t="s">
        <v>994</v>
      </c>
      <c r="C673" s="90" t="s">
        <v>190</v>
      </c>
      <c r="D673" s="43">
        <v>1966</v>
      </c>
      <c r="E673" s="16">
        <v>2152.3000000000002</v>
      </c>
      <c r="F673" s="16">
        <v>1597</v>
      </c>
      <c r="G673" s="16">
        <v>0</v>
      </c>
      <c r="H673" s="17" t="s">
        <v>257</v>
      </c>
      <c r="I673" s="15"/>
      <c r="J673" s="16"/>
      <c r="K673" s="16"/>
      <c r="L673" s="16"/>
      <c r="M673" s="16"/>
      <c r="N673" s="16"/>
      <c r="O673" s="16"/>
      <c r="P673" s="16">
        <f>2308*E673</f>
        <v>4967508.4000000004</v>
      </c>
      <c r="Q673" s="16"/>
      <c r="R673" s="16"/>
      <c r="S673" s="16"/>
      <c r="T673" s="16"/>
      <c r="U673" s="16"/>
      <c r="V673" s="19">
        <f t="shared" si="180"/>
        <v>4967508.4000000004</v>
      </c>
      <c r="W673" s="20" t="s">
        <v>1175</v>
      </c>
      <c r="X673" s="37">
        <v>0</v>
      </c>
      <c r="Y673" s="37">
        <v>0</v>
      </c>
      <c r="Z673" s="79">
        <v>0</v>
      </c>
      <c r="AA673" s="19">
        <f t="shared" si="181"/>
        <v>4967508.4000000004</v>
      </c>
    </row>
    <row r="674" spans="1:27" s="12" customFormat="1" ht="93.75" customHeight="1" x14ac:dyDescent="0.25">
      <c r="A674" s="17">
        <f>IF(OR(D674=0,D674=""),"",COUNTA($D$535:D674))</f>
        <v>125</v>
      </c>
      <c r="B674" s="17" t="s">
        <v>1003</v>
      </c>
      <c r="C674" s="90" t="s">
        <v>196</v>
      </c>
      <c r="D674" s="43">
        <v>1966</v>
      </c>
      <c r="E674" s="16">
        <v>3541.2</v>
      </c>
      <c r="F674" s="16">
        <v>3541.2</v>
      </c>
      <c r="G674" s="16">
        <v>0</v>
      </c>
      <c r="H674" s="17" t="s">
        <v>257</v>
      </c>
      <c r="I674" s="15"/>
      <c r="J674" s="16"/>
      <c r="K674" s="16"/>
      <c r="L674" s="16"/>
      <c r="M674" s="16"/>
      <c r="N674" s="16"/>
      <c r="O674" s="16"/>
      <c r="P674" s="16">
        <f>2308*E674</f>
        <v>8173089.5999999996</v>
      </c>
      <c r="Q674" s="16"/>
      <c r="R674" s="16"/>
      <c r="S674" s="16"/>
      <c r="T674" s="16"/>
      <c r="U674" s="16"/>
      <c r="V674" s="19">
        <f t="shared" si="180"/>
        <v>8173089.5999999996</v>
      </c>
      <c r="W674" s="20" t="s">
        <v>1175</v>
      </c>
      <c r="X674" s="37">
        <v>0</v>
      </c>
      <c r="Y674" s="37">
        <v>0</v>
      </c>
      <c r="Z674" s="79">
        <v>0</v>
      </c>
      <c r="AA674" s="19">
        <f t="shared" si="181"/>
        <v>8173089.5999999996</v>
      </c>
    </row>
    <row r="675" spans="1:27" s="12" customFormat="1" ht="93.75" customHeight="1" x14ac:dyDescent="0.25">
      <c r="A675" s="17">
        <f>IF(OR(D675=0,D675=""),"",COUNTA($D$535:D675))</f>
        <v>126</v>
      </c>
      <c r="B675" s="17" t="s">
        <v>1004</v>
      </c>
      <c r="C675" s="90" t="s">
        <v>197</v>
      </c>
      <c r="D675" s="43">
        <v>1966</v>
      </c>
      <c r="E675" s="16">
        <v>3491.6</v>
      </c>
      <c r="F675" s="16">
        <v>2584.9</v>
      </c>
      <c r="G675" s="16">
        <v>0</v>
      </c>
      <c r="H675" s="17" t="s">
        <v>257</v>
      </c>
      <c r="I675" s="15"/>
      <c r="J675" s="16">
        <f>406*E675</f>
        <v>1417589.5999999999</v>
      </c>
      <c r="K675" s="16"/>
      <c r="L675" s="16"/>
      <c r="M675" s="16"/>
      <c r="N675" s="16"/>
      <c r="O675" s="16"/>
      <c r="P675" s="27"/>
      <c r="Q675" s="16"/>
      <c r="R675" s="16"/>
      <c r="S675" s="16"/>
      <c r="T675" s="16"/>
      <c r="U675" s="15"/>
      <c r="V675" s="19">
        <f t="shared" si="180"/>
        <v>1417589.5999999999</v>
      </c>
      <c r="W675" s="20" t="s">
        <v>1175</v>
      </c>
      <c r="X675" s="37">
        <v>0</v>
      </c>
      <c r="Y675" s="37">
        <v>0</v>
      </c>
      <c r="Z675" s="79">
        <v>0</v>
      </c>
      <c r="AA675" s="19">
        <f t="shared" si="181"/>
        <v>1417589.5999999999</v>
      </c>
    </row>
    <row r="676" spans="1:27" s="12" customFormat="1" ht="93.75" customHeight="1" x14ac:dyDescent="0.25">
      <c r="A676" s="17">
        <f>IF(OR(D676=0,D676=""),"",COUNTA($D$535:D676))</f>
        <v>127</v>
      </c>
      <c r="B676" s="17" t="s">
        <v>891</v>
      </c>
      <c r="C676" s="90" t="s">
        <v>572</v>
      </c>
      <c r="D676" s="43">
        <v>1973</v>
      </c>
      <c r="E676" s="16">
        <v>3476.1</v>
      </c>
      <c r="F676" s="16">
        <v>2649.2</v>
      </c>
      <c r="G676" s="16">
        <v>0</v>
      </c>
      <c r="H676" s="17" t="s">
        <v>257</v>
      </c>
      <c r="I676" s="15"/>
      <c r="J676" s="16"/>
      <c r="K676" s="16"/>
      <c r="L676" s="16"/>
      <c r="M676" s="18"/>
      <c r="N676" s="16"/>
      <c r="O676" s="16"/>
      <c r="P676" s="16">
        <f>2308*E676</f>
        <v>8022838.7999999998</v>
      </c>
      <c r="Q676" s="16"/>
      <c r="R676" s="16"/>
      <c r="S676" s="16"/>
      <c r="T676" s="16"/>
      <c r="U676" s="16"/>
      <c r="V676" s="19">
        <f t="shared" si="180"/>
        <v>8022838.7999999998</v>
      </c>
      <c r="W676" s="20" t="s">
        <v>1175</v>
      </c>
      <c r="X676" s="37">
        <v>0</v>
      </c>
      <c r="Y676" s="37">
        <v>0</v>
      </c>
      <c r="Z676" s="79">
        <v>0</v>
      </c>
      <c r="AA676" s="19">
        <f t="shared" si="181"/>
        <v>8022838.7999999998</v>
      </c>
    </row>
    <row r="677" spans="1:27" s="12" customFormat="1" ht="93.75" customHeight="1" x14ac:dyDescent="0.25">
      <c r="A677" s="17">
        <f>IF(OR(D677=0,D677=""),"",COUNTA($D$535:D677))</f>
        <v>128</v>
      </c>
      <c r="B677" s="17" t="s">
        <v>727</v>
      </c>
      <c r="C677" s="90" t="s">
        <v>573</v>
      </c>
      <c r="D677" s="43">
        <v>1978</v>
      </c>
      <c r="E677" s="16">
        <v>27762.2</v>
      </c>
      <c r="F677" s="16">
        <v>21893.27</v>
      </c>
      <c r="G677" s="16">
        <v>357.5</v>
      </c>
      <c r="H677" s="17" t="s">
        <v>255</v>
      </c>
      <c r="I677" s="15"/>
      <c r="J677" s="16"/>
      <c r="K677" s="16"/>
      <c r="L677" s="16"/>
      <c r="M677" s="18"/>
      <c r="N677" s="16"/>
      <c r="O677" s="16"/>
      <c r="P677" s="16">
        <f>E677*845</f>
        <v>23459059</v>
      </c>
      <c r="Q677" s="16"/>
      <c r="R677" s="16"/>
      <c r="S677" s="16"/>
      <c r="T677" s="16"/>
      <c r="U677" s="16"/>
      <c r="V677" s="19">
        <f t="shared" si="180"/>
        <v>23459059</v>
      </c>
      <c r="W677" s="20" t="s">
        <v>1175</v>
      </c>
      <c r="X677" s="37">
        <v>0</v>
      </c>
      <c r="Y677" s="37">
        <v>0</v>
      </c>
      <c r="Z677" s="79">
        <v>0</v>
      </c>
      <c r="AA677" s="19">
        <f t="shared" si="181"/>
        <v>23459059</v>
      </c>
    </row>
    <row r="678" spans="1:27" s="12" customFormat="1" ht="93.75" customHeight="1" x14ac:dyDescent="0.25">
      <c r="A678" s="17">
        <f>IF(OR(D678=0,D678=""),"",COUNTA($D$535:D678))</f>
        <v>129</v>
      </c>
      <c r="B678" s="17" t="s">
        <v>787</v>
      </c>
      <c r="C678" s="90" t="s">
        <v>574</v>
      </c>
      <c r="D678" s="43">
        <v>1968</v>
      </c>
      <c r="E678" s="16">
        <v>5820</v>
      </c>
      <c r="F678" s="16">
        <v>4430.8</v>
      </c>
      <c r="G678" s="16">
        <v>0</v>
      </c>
      <c r="H678" s="17" t="s">
        <v>257</v>
      </c>
      <c r="I678" s="15"/>
      <c r="J678" s="16"/>
      <c r="K678" s="16"/>
      <c r="L678" s="16"/>
      <c r="M678" s="18"/>
      <c r="N678" s="16"/>
      <c r="O678" s="16"/>
      <c r="P678" s="16">
        <f>2308*E678</f>
        <v>13432560</v>
      </c>
      <c r="Q678" s="16"/>
      <c r="R678" s="16"/>
      <c r="S678" s="16"/>
      <c r="T678" s="16"/>
      <c r="U678" s="16"/>
      <c r="V678" s="19">
        <f t="shared" si="180"/>
        <v>13432560</v>
      </c>
      <c r="W678" s="20" t="s">
        <v>1175</v>
      </c>
      <c r="X678" s="37">
        <v>0</v>
      </c>
      <c r="Y678" s="37">
        <v>0</v>
      </c>
      <c r="Z678" s="79">
        <v>0</v>
      </c>
      <c r="AA678" s="19">
        <f t="shared" si="181"/>
        <v>13432560</v>
      </c>
    </row>
    <row r="679" spans="1:27" s="12" customFormat="1" ht="93.75" customHeight="1" x14ac:dyDescent="0.25">
      <c r="A679" s="17">
        <f>IF(OR(D679=0,D679=""),"",COUNTA($D$535:D679))</f>
        <v>130</v>
      </c>
      <c r="B679" s="17" t="s">
        <v>901</v>
      </c>
      <c r="C679" s="90" t="s">
        <v>575</v>
      </c>
      <c r="D679" s="43">
        <v>1987</v>
      </c>
      <c r="E679" s="16">
        <v>7151.9</v>
      </c>
      <c r="F679" s="16">
        <v>5366.3</v>
      </c>
      <c r="G679" s="16">
        <v>106.5</v>
      </c>
      <c r="H679" s="17" t="s">
        <v>257</v>
      </c>
      <c r="I679" s="15"/>
      <c r="J679" s="16"/>
      <c r="K679" s="16"/>
      <c r="L679" s="16"/>
      <c r="M679" s="18"/>
      <c r="N679" s="16"/>
      <c r="O679" s="16"/>
      <c r="P679" s="16">
        <f>2308*E679</f>
        <v>16506585.199999999</v>
      </c>
      <c r="Q679" s="16"/>
      <c r="R679" s="16"/>
      <c r="S679" s="16"/>
      <c r="T679" s="16"/>
      <c r="U679" s="16"/>
      <c r="V679" s="19">
        <f t="shared" si="180"/>
        <v>16506585.199999999</v>
      </c>
      <c r="W679" s="20" t="s">
        <v>1175</v>
      </c>
      <c r="X679" s="37">
        <v>0</v>
      </c>
      <c r="Y679" s="37">
        <v>0</v>
      </c>
      <c r="Z679" s="79">
        <v>0</v>
      </c>
      <c r="AA679" s="19">
        <f t="shared" si="181"/>
        <v>16506585.199999999</v>
      </c>
    </row>
    <row r="680" spans="1:27" s="12" customFormat="1" ht="93.75" customHeight="1" x14ac:dyDescent="0.25">
      <c r="A680" s="17">
        <f>IF(OR(D680=0,D680=""),"",COUNTA($D$535:D680))</f>
        <v>131</v>
      </c>
      <c r="B680" s="17" t="s">
        <v>1169</v>
      </c>
      <c r="C680" s="90" t="s">
        <v>576</v>
      </c>
      <c r="D680" s="43">
        <v>1970</v>
      </c>
      <c r="E680" s="16">
        <v>7831.2</v>
      </c>
      <c r="F680" s="16">
        <v>5794.2</v>
      </c>
      <c r="G680" s="16">
        <v>0</v>
      </c>
      <c r="H680" s="17" t="s">
        <v>257</v>
      </c>
      <c r="I680" s="15"/>
      <c r="J680" s="16"/>
      <c r="K680" s="16"/>
      <c r="L680" s="16"/>
      <c r="M680" s="18"/>
      <c r="N680" s="16"/>
      <c r="O680" s="16"/>
      <c r="P680" s="16">
        <f>2308*E680</f>
        <v>18074409.599999998</v>
      </c>
      <c r="Q680" s="16"/>
      <c r="R680" s="16"/>
      <c r="S680" s="16"/>
      <c r="T680" s="16"/>
      <c r="U680" s="16"/>
      <c r="V680" s="19">
        <f t="shared" si="180"/>
        <v>18074409.599999998</v>
      </c>
      <c r="W680" s="20" t="s">
        <v>1175</v>
      </c>
      <c r="X680" s="37">
        <v>0</v>
      </c>
      <c r="Y680" s="37">
        <v>0</v>
      </c>
      <c r="Z680" s="79">
        <v>0</v>
      </c>
      <c r="AA680" s="19">
        <f t="shared" si="181"/>
        <v>18074409.599999998</v>
      </c>
    </row>
    <row r="681" spans="1:27" s="12" customFormat="1" ht="93.75" customHeight="1" x14ac:dyDescent="0.25">
      <c r="A681" s="17">
        <f>IF(OR(D681=0,D681=""),"",COUNTA($D$535:D681))</f>
        <v>132</v>
      </c>
      <c r="B681" s="17" t="s">
        <v>817</v>
      </c>
      <c r="C681" s="90" t="s">
        <v>577</v>
      </c>
      <c r="D681" s="43">
        <v>1975</v>
      </c>
      <c r="E681" s="16">
        <v>3681.9</v>
      </c>
      <c r="F681" s="16">
        <v>2847.3</v>
      </c>
      <c r="G681" s="16">
        <v>0</v>
      </c>
      <c r="H681" s="17" t="s">
        <v>257</v>
      </c>
      <c r="I681" s="15"/>
      <c r="J681" s="16"/>
      <c r="K681" s="16"/>
      <c r="L681" s="16"/>
      <c r="M681" s="18"/>
      <c r="N681" s="16"/>
      <c r="O681" s="16"/>
      <c r="P681" s="16"/>
      <c r="Q681" s="16"/>
      <c r="R681" s="16">
        <f>E681*2763</f>
        <v>10173089.700000001</v>
      </c>
      <c r="S681" s="16"/>
      <c r="T681" s="16"/>
      <c r="U681" s="16"/>
      <c r="V681" s="19">
        <f t="shared" si="180"/>
        <v>10173089.700000001</v>
      </c>
      <c r="W681" s="20" t="s">
        <v>1175</v>
      </c>
      <c r="X681" s="37">
        <v>0</v>
      </c>
      <c r="Y681" s="37">
        <v>0</v>
      </c>
      <c r="Z681" s="79">
        <v>0</v>
      </c>
      <c r="AA681" s="19">
        <f t="shared" si="181"/>
        <v>10173089.700000001</v>
      </c>
    </row>
    <row r="682" spans="1:27" s="12" customFormat="1" ht="93.75" customHeight="1" x14ac:dyDescent="0.25">
      <c r="A682" s="17">
        <f>IF(OR(D682=0,D682=""),"",COUNTA($D$535:D682))</f>
        <v>133</v>
      </c>
      <c r="B682" s="17" t="s">
        <v>879</v>
      </c>
      <c r="C682" s="90" t="s">
        <v>345</v>
      </c>
      <c r="D682" s="43">
        <v>1976</v>
      </c>
      <c r="E682" s="16">
        <v>7863.2</v>
      </c>
      <c r="F682" s="16">
        <v>5994.6</v>
      </c>
      <c r="G682" s="16">
        <v>192.6</v>
      </c>
      <c r="H682" s="17" t="s">
        <v>257</v>
      </c>
      <c r="I682" s="15"/>
      <c r="J682" s="16"/>
      <c r="K682" s="16"/>
      <c r="L682" s="16"/>
      <c r="M682" s="18"/>
      <c r="N682" s="16"/>
      <c r="O682" s="16"/>
      <c r="P682" s="16"/>
      <c r="Q682" s="16"/>
      <c r="R682" s="16">
        <f>E682*2763</f>
        <v>21726021.599999998</v>
      </c>
      <c r="S682" s="16"/>
      <c r="T682" s="16"/>
      <c r="U682" s="16"/>
      <c r="V682" s="19">
        <f t="shared" si="180"/>
        <v>21726021.599999998</v>
      </c>
      <c r="W682" s="20" t="s">
        <v>1175</v>
      </c>
      <c r="X682" s="37">
        <v>0</v>
      </c>
      <c r="Y682" s="37">
        <v>0</v>
      </c>
      <c r="Z682" s="79">
        <v>0</v>
      </c>
      <c r="AA682" s="19">
        <f t="shared" si="181"/>
        <v>21726021.599999998</v>
      </c>
    </row>
    <row r="683" spans="1:27" s="12" customFormat="1" ht="93.75" customHeight="1" x14ac:dyDescent="0.25">
      <c r="A683" s="17">
        <f>IF(OR(D683=0,D683=""),"",COUNTA($D$535:D683))</f>
        <v>134</v>
      </c>
      <c r="B683" s="17" t="s">
        <v>743</v>
      </c>
      <c r="C683" s="90" t="s">
        <v>609</v>
      </c>
      <c r="D683" s="43">
        <v>1996</v>
      </c>
      <c r="E683" s="16">
        <v>10377.530000000001</v>
      </c>
      <c r="F683" s="16">
        <v>7248.33</v>
      </c>
      <c r="G683" s="16">
        <v>0</v>
      </c>
      <c r="H683" s="17" t="s">
        <v>464</v>
      </c>
      <c r="I683" s="15"/>
      <c r="J683" s="16"/>
      <c r="K683" s="16"/>
      <c r="L683" s="16"/>
      <c r="M683" s="18"/>
      <c r="N683" s="16"/>
      <c r="O683" s="16"/>
      <c r="P683" s="16">
        <f>E683*845</f>
        <v>8769012.8499999996</v>
      </c>
      <c r="Q683" s="16"/>
      <c r="R683" s="16"/>
      <c r="S683" s="16"/>
      <c r="T683" s="16"/>
      <c r="U683" s="16"/>
      <c r="V683" s="19">
        <f t="shared" si="180"/>
        <v>8769012.8499999996</v>
      </c>
      <c r="W683" s="20" t="s">
        <v>1175</v>
      </c>
      <c r="X683" s="37">
        <v>0</v>
      </c>
      <c r="Y683" s="37">
        <v>0</v>
      </c>
      <c r="Z683" s="79">
        <v>0</v>
      </c>
      <c r="AA683" s="19">
        <f t="shared" si="181"/>
        <v>8769012.8499999996</v>
      </c>
    </row>
    <row r="684" spans="1:27" s="12" customFormat="1" ht="93.75" customHeight="1" x14ac:dyDescent="0.25">
      <c r="A684" s="17">
        <f>IF(OR(D684=0,D684=""),"",COUNTA($D$535:D684))</f>
        <v>135</v>
      </c>
      <c r="B684" s="17" t="s">
        <v>749</v>
      </c>
      <c r="C684" s="90" t="s">
        <v>581</v>
      </c>
      <c r="D684" s="43">
        <v>1978</v>
      </c>
      <c r="E684" s="16">
        <v>6178.8</v>
      </c>
      <c r="F684" s="16">
        <v>5792.8</v>
      </c>
      <c r="G684" s="16">
        <v>190.4</v>
      </c>
      <c r="H684" s="17" t="s">
        <v>257</v>
      </c>
      <c r="I684" s="15"/>
      <c r="J684" s="16"/>
      <c r="K684" s="16"/>
      <c r="L684" s="16"/>
      <c r="M684" s="18"/>
      <c r="N684" s="16"/>
      <c r="O684" s="16"/>
      <c r="P684" s="16">
        <f t="shared" ref="P684:P701" si="188">2308*E684</f>
        <v>14260670.4</v>
      </c>
      <c r="Q684" s="16"/>
      <c r="R684" s="16"/>
      <c r="S684" s="16"/>
      <c r="T684" s="16"/>
      <c r="U684" s="16"/>
      <c r="V684" s="19">
        <f t="shared" ref="V684:V685" si="189">J684+K684+L684+M684+N684+O684+P684+Q684+R684+S684+T684+U684</f>
        <v>14260670.4</v>
      </c>
      <c r="W684" s="20" t="s">
        <v>1175</v>
      </c>
      <c r="X684" s="37">
        <v>0</v>
      </c>
      <c r="Y684" s="37">
        <v>0</v>
      </c>
      <c r="Z684" s="79">
        <v>0</v>
      </c>
      <c r="AA684" s="19">
        <f t="shared" ref="AA684:AA685" si="190">V684-(X684+Y684+Z684)</f>
        <v>14260670.4</v>
      </c>
    </row>
    <row r="685" spans="1:27" s="12" customFormat="1" ht="93.75" customHeight="1" x14ac:dyDescent="0.25">
      <c r="A685" s="17">
        <f>IF(OR(D685=0,D685=""),"",COUNTA($D$535:D685))</f>
        <v>136</v>
      </c>
      <c r="B685" s="17" t="s">
        <v>1034</v>
      </c>
      <c r="C685" s="90" t="s">
        <v>213</v>
      </c>
      <c r="D685" s="43">
        <v>1966</v>
      </c>
      <c r="E685" s="16">
        <f>F685+G685</f>
        <v>5111.4399999999996</v>
      </c>
      <c r="F685" s="16">
        <v>3133.58</v>
      </c>
      <c r="G685" s="16">
        <v>1977.86</v>
      </c>
      <c r="H685" s="17" t="s">
        <v>257</v>
      </c>
      <c r="I685" s="15"/>
      <c r="J685" s="16"/>
      <c r="K685" s="16"/>
      <c r="L685" s="16"/>
      <c r="M685" s="18"/>
      <c r="N685" s="16"/>
      <c r="O685" s="16"/>
      <c r="P685" s="16">
        <f t="shared" si="188"/>
        <v>11797203.52</v>
      </c>
      <c r="Q685" s="16"/>
      <c r="R685" s="16">
        <f>E685*2763</f>
        <v>14122908.719999999</v>
      </c>
      <c r="S685" s="16"/>
      <c r="T685" s="16"/>
      <c r="U685" s="16"/>
      <c r="V685" s="19">
        <f t="shared" si="189"/>
        <v>25920112.239999998</v>
      </c>
      <c r="W685" s="20" t="s">
        <v>1175</v>
      </c>
      <c r="X685" s="37">
        <v>0</v>
      </c>
      <c r="Y685" s="37">
        <v>0</v>
      </c>
      <c r="Z685" s="79">
        <v>0</v>
      </c>
      <c r="AA685" s="19">
        <f t="shared" si="190"/>
        <v>25920112.239999998</v>
      </c>
    </row>
    <row r="686" spans="1:27" s="12" customFormat="1" ht="93.75" customHeight="1" x14ac:dyDescent="0.25">
      <c r="A686" s="17">
        <f>IF(OR(D686=0,D686=""),"",COUNTA($D$535:D686))</f>
        <v>137</v>
      </c>
      <c r="B686" s="17" t="s">
        <v>1037</v>
      </c>
      <c r="C686" s="90" t="s">
        <v>214</v>
      </c>
      <c r="D686" s="43">
        <v>1966</v>
      </c>
      <c r="E686" s="16">
        <v>1383.6</v>
      </c>
      <c r="F686" s="16">
        <v>1287.2</v>
      </c>
      <c r="G686" s="16">
        <v>0</v>
      </c>
      <c r="H686" s="17" t="s">
        <v>256</v>
      </c>
      <c r="I686" s="15"/>
      <c r="J686" s="16"/>
      <c r="K686" s="16"/>
      <c r="L686" s="16"/>
      <c r="M686" s="16"/>
      <c r="N686" s="16"/>
      <c r="O686" s="16"/>
      <c r="P686" s="16">
        <f t="shared" si="188"/>
        <v>3193348.8</v>
      </c>
      <c r="Q686" s="16"/>
      <c r="R686" s="16"/>
      <c r="S686" s="16"/>
      <c r="T686" s="16"/>
      <c r="U686" s="16"/>
      <c r="V686" s="19">
        <f t="shared" si="180"/>
        <v>3193348.8</v>
      </c>
      <c r="W686" s="20" t="s">
        <v>1175</v>
      </c>
      <c r="X686" s="37">
        <v>0</v>
      </c>
      <c r="Y686" s="37">
        <v>0</v>
      </c>
      <c r="Z686" s="79">
        <v>0</v>
      </c>
      <c r="AA686" s="19">
        <f t="shared" si="181"/>
        <v>3193348.8</v>
      </c>
    </row>
    <row r="687" spans="1:27" s="12" customFormat="1" ht="93.75" customHeight="1" x14ac:dyDescent="0.25">
      <c r="A687" s="17">
        <f>IF(OR(D687=0,D687=""),"",COUNTA($D$535:D687))</f>
        <v>138</v>
      </c>
      <c r="B687" s="17" t="s">
        <v>762</v>
      </c>
      <c r="C687" s="90" t="s">
        <v>74</v>
      </c>
      <c r="D687" s="43">
        <v>1968</v>
      </c>
      <c r="E687" s="16">
        <v>1990.2</v>
      </c>
      <c r="F687" s="16">
        <v>823</v>
      </c>
      <c r="G687" s="16">
        <v>0</v>
      </c>
      <c r="H687" s="17" t="s">
        <v>256</v>
      </c>
      <c r="I687" s="15"/>
      <c r="J687" s="16"/>
      <c r="K687" s="16"/>
      <c r="L687" s="16"/>
      <c r="M687" s="16"/>
      <c r="N687" s="16"/>
      <c r="O687" s="16"/>
      <c r="P687" s="16">
        <f t="shared" si="188"/>
        <v>4593381.6000000006</v>
      </c>
      <c r="Q687" s="16"/>
      <c r="R687" s="16"/>
      <c r="S687" s="16"/>
      <c r="T687" s="16"/>
      <c r="U687" s="16"/>
      <c r="V687" s="19">
        <f t="shared" si="180"/>
        <v>4593381.6000000006</v>
      </c>
      <c r="W687" s="20" t="s">
        <v>1175</v>
      </c>
      <c r="X687" s="37">
        <v>0</v>
      </c>
      <c r="Y687" s="37">
        <v>0</v>
      </c>
      <c r="Z687" s="79">
        <v>0</v>
      </c>
      <c r="AA687" s="19">
        <f t="shared" si="181"/>
        <v>4593381.6000000006</v>
      </c>
    </row>
    <row r="688" spans="1:27" s="12" customFormat="1" ht="93.75" customHeight="1" x14ac:dyDescent="0.25">
      <c r="A688" s="17">
        <f>IF(OR(D688=0,D688=""),"",COUNTA($D$535:D688))</f>
        <v>139</v>
      </c>
      <c r="B688" s="17" t="s">
        <v>769</v>
      </c>
      <c r="C688" s="90" t="s">
        <v>79</v>
      </c>
      <c r="D688" s="43">
        <v>1968</v>
      </c>
      <c r="E688" s="16">
        <v>5697.2</v>
      </c>
      <c r="F688" s="16">
        <v>4424.1000000000004</v>
      </c>
      <c r="G688" s="16">
        <v>30.6</v>
      </c>
      <c r="H688" s="17" t="s">
        <v>257</v>
      </c>
      <c r="I688" s="15"/>
      <c r="J688" s="16">
        <f>406*E688</f>
        <v>2313063.1999999997</v>
      </c>
      <c r="K688" s="16">
        <f>1207*E688</f>
        <v>6876520.3999999994</v>
      </c>
      <c r="L688" s="16"/>
      <c r="M688" s="16"/>
      <c r="N688" s="16"/>
      <c r="O688" s="16"/>
      <c r="P688" s="16">
        <f t="shared" si="188"/>
        <v>13149137.6</v>
      </c>
      <c r="Q688" s="16"/>
      <c r="R688" s="16"/>
      <c r="S688" s="16"/>
      <c r="T688" s="16"/>
      <c r="U688" s="16"/>
      <c r="V688" s="19">
        <f t="shared" si="180"/>
        <v>22338721.199999999</v>
      </c>
      <c r="W688" s="20" t="s">
        <v>1175</v>
      </c>
      <c r="X688" s="37">
        <v>0</v>
      </c>
      <c r="Y688" s="37">
        <v>0</v>
      </c>
      <c r="Z688" s="79">
        <v>0</v>
      </c>
      <c r="AA688" s="19">
        <f t="shared" si="181"/>
        <v>22338721.199999999</v>
      </c>
    </row>
    <row r="689" spans="1:27" s="12" customFormat="1" ht="93.75" customHeight="1" x14ac:dyDescent="0.25">
      <c r="A689" s="17">
        <f>IF(OR(D689=0,D689=""),"",COUNTA($D$535:D689))</f>
        <v>140</v>
      </c>
      <c r="B689" s="17" t="s">
        <v>1170</v>
      </c>
      <c r="C689" s="90" t="s">
        <v>112</v>
      </c>
      <c r="D689" s="43">
        <v>1957</v>
      </c>
      <c r="E689" s="16">
        <v>5040</v>
      </c>
      <c r="F689" s="16">
        <v>2630</v>
      </c>
      <c r="G689" s="16">
        <v>2410</v>
      </c>
      <c r="H689" s="17" t="s">
        <v>256</v>
      </c>
      <c r="I689" s="15"/>
      <c r="J689" s="16"/>
      <c r="K689" s="16"/>
      <c r="L689" s="16"/>
      <c r="M689" s="18"/>
      <c r="N689" s="16"/>
      <c r="O689" s="16"/>
      <c r="P689" s="16">
        <f t="shared" si="188"/>
        <v>11632320</v>
      </c>
      <c r="Q689" s="16"/>
      <c r="R689" s="16"/>
      <c r="S689" s="16"/>
      <c r="T689" s="16"/>
      <c r="U689" s="16"/>
      <c r="V689" s="19">
        <f t="shared" si="180"/>
        <v>11632320</v>
      </c>
      <c r="W689" s="20" t="s">
        <v>1175</v>
      </c>
      <c r="X689" s="37">
        <v>0</v>
      </c>
      <c r="Y689" s="37">
        <v>0</v>
      </c>
      <c r="Z689" s="79">
        <v>0</v>
      </c>
      <c r="AA689" s="19">
        <f t="shared" si="181"/>
        <v>11632320</v>
      </c>
    </row>
    <row r="690" spans="1:27" s="12" customFormat="1" ht="93.75" customHeight="1" x14ac:dyDescent="0.25">
      <c r="A690" s="17">
        <f>IF(OR(D690=0,D690=""),"",COUNTA($D$535:D690))</f>
        <v>141</v>
      </c>
      <c r="B690" s="17" t="s">
        <v>839</v>
      </c>
      <c r="C690" s="90" t="s">
        <v>121</v>
      </c>
      <c r="D690" s="43">
        <v>1968</v>
      </c>
      <c r="E690" s="16">
        <v>4397.8999999999996</v>
      </c>
      <c r="F690" s="16">
        <v>4397.8999999999996</v>
      </c>
      <c r="G690" s="16">
        <v>0</v>
      </c>
      <c r="H690" s="17" t="s">
        <v>257</v>
      </c>
      <c r="I690" s="15"/>
      <c r="J690" s="16">
        <f>406*E690</f>
        <v>1785547.4</v>
      </c>
      <c r="K690" s="16"/>
      <c r="L690" s="16"/>
      <c r="M690" s="18"/>
      <c r="N690" s="16"/>
      <c r="O690" s="16"/>
      <c r="P690" s="16">
        <f t="shared" si="188"/>
        <v>10150353.199999999</v>
      </c>
      <c r="Q690" s="16">
        <f>E690*297</f>
        <v>1306176.2999999998</v>
      </c>
      <c r="R690" s="16">
        <f>E690*2763</f>
        <v>12151397.699999999</v>
      </c>
      <c r="S690" s="16">
        <f>E690*102</f>
        <v>448585.8</v>
      </c>
      <c r="T690" s="16"/>
      <c r="U690" s="16"/>
      <c r="V690" s="19">
        <f t="shared" si="180"/>
        <v>25842060.399999999</v>
      </c>
      <c r="W690" s="20" t="s">
        <v>1175</v>
      </c>
      <c r="X690" s="37">
        <v>0</v>
      </c>
      <c r="Y690" s="37">
        <v>0</v>
      </c>
      <c r="Z690" s="79">
        <v>0</v>
      </c>
      <c r="AA690" s="19">
        <f t="shared" si="181"/>
        <v>25842060.399999999</v>
      </c>
    </row>
    <row r="691" spans="1:27" s="12" customFormat="1" ht="93.75" customHeight="1" x14ac:dyDescent="0.25">
      <c r="A691" s="17">
        <f>IF(OR(D691=0,D691=""),"",COUNTA($D$535:D691))</f>
        <v>142</v>
      </c>
      <c r="B691" s="17" t="s">
        <v>841</v>
      </c>
      <c r="C691" s="90" t="s">
        <v>122</v>
      </c>
      <c r="D691" s="43">
        <v>1968</v>
      </c>
      <c r="E691" s="16">
        <v>5984.7</v>
      </c>
      <c r="F691" s="16">
        <v>4417.3999999999996</v>
      </c>
      <c r="G691" s="16">
        <v>0</v>
      </c>
      <c r="H691" s="17" t="s">
        <v>257</v>
      </c>
      <c r="I691" s="15"/>
      <c r="J691" s="16">
        <f>406*E691</f>
        <v>2429788.1999999997</v>
      </c>
      <c r="K691" s="16"/>
      <c r="L691" s="16"/>
      <c r="M691" s="18"/>
      <c r="N691" s="16"/>
      <c r="O691" s="16"/>
      <c r="P691" s="16">
        <f t="shared" si="188"/>
        <v>13812687.6</v>
      </c>
      <c r="Q691" s="16"/>
      <c r="R691" s="16">
        <f>E691*2763</f>
        <v>16535726.1</v>
      </c>
      <c r="S691" s="16"/>
      <c r="T691" s="16"/>
      <c r="U691" s="16"/>
      <c r="V691" s="19">
        <f t="shared" si="180"/>
        <v>32778201.899999999</v>
      </c>
      <c r="W691" s="20" t="s">
        <v>1175</v>
      </c>
      <c r="X691" s="37">
        <v>0</v>
      </c>
      <c r="Y691" s="37">
        <v>0</v>
      </c>
      <c r="Z691" s="79">
        <v>0</v>
      </c>
      <c r="AA691" s="19">
        <f t="shared" si="181"/>
        <v>32778201.899999999</v>
      </c>
    </row>
    <row r="692" spans="1:27" s="12" customFormat="1" ht="93.75" customHeight="1" x14ac:dyDescent="0.25">
      <c r="A692" s="17">
        <f>IF(OR(D692=0,D692=""),"",COUNTA($D$535:D692))</f>
        <v>143</v>
      </c>
      <c r="B692" s="17" t="s">
        <v>842</v>
      </c>
      <c r="C692" s="90" t="s">
        <v>123</v>
      </c>
      <c r="D692" s="43">
        <v>1968</v>
      </c>
      <c r="E692" s="16">
        <v>7621.5</v>
      </c>
      <c r="F692" s="16">
        <v>5761.5</v>
      </c>
      <c r="G692" s="16">
        <v>0</v>
      </c>
      <c r="H692" s="17" t="s">
        <v>257</v>
      </c>
      <c r="I692" s="15"/>
      <c r="J692" s="16"/>
      <c r="K692" s="16"/>
      <c r="L692" s="16"/>
      <c r="M692" s="18"/>
      <c r="N692" s="16"/>
      <c r="O692" s="16"/>
      <c r="P692" s="16">
        <f t="shared" si="188"/>
        <v>17590422</v>
      </c>
      <c r="Q692" s="16"/>
      <c r="R692" s="16">
        <f>E692*2763</f>
        <v>21058204.5</v>
      </c>
      <c r="S692" s="16"/>
      <c r="T692" s="16"/>
      <c r="U692" s="16"/>
      <c r="V692" s="19">
        <f t="shared" si="180"/>
        <v>38648626.5</v>
      </c>
      <c r="W692" s="20" t="s">
        <v>1175</v>
      </c>
      <c r="X692" s="37">
        <v>0</v>
      </c>
      <c r="Y692" s="37">
        <v>0</v>
      </c>
      <c r="Z692" s="79">
        <v>0</v>
      </c>
      <c r="AA692" s="19">
        <f t="shared" si="181"/>
        <v>38648626.5</v>
      </c>
    </row>
    <row r="693" spans="1:27" s="12" customFormat="1" ht="93.75" customHeight="1" x14ac:dyDescent="0.25">
      <c r="A693" s="17">
        <f>IF(OR(D693=0,D693=""),"",COUNTA($D$535:D693))</f>
        <v>144</v>
      </c>
      <c r="B693" s="17" t="s">
        <v>889</v>
      </c>
      <c r="C693" s="90" t="s">
        <v>152</v>
      </c>
      <c r="D693" s="43">
        <v>1968</v>
      </c>
      <c r="E693" s="16">
        <v>4904.7</v>
      </c>
      <c r="F693" s="16">
        <v>3815.5</v>
      </c>
      <c r="G693" s="16">
        <v>0</v>
      </c>
      <c r="H693" s="17" t="s">
        <v>257</v>
      </c>
      <c r="I693" s="15"/>
      <c r="J693" s="16"/>
      <c r="K693" s="16"/>
      <c r="L693" s="16"/>
      <c r="M693" s="16"/>
      <c r="N693" s="16"/>
      <c r="O693" s="16"/>
      <c r="P693" s="16">
        <f t="shared" si="188"/>
        <v>11320047.6</v>
      </c>
      <c r="Q693" s="16"/>
      <c r="R693" s="16"/>
      <c r="S693" s="16"/>
      <c r="T693" s="16"/>
      <c r="U693" s="16"/>
      <c r="V693" s="19">
        <f t="shared" si="180"/>
        <v>11320047.6</v>
      </c>
      <c r="W693" s="20" t="s">
        <v>1175</v>
      </c>
      <c r="X693" s="37">
        <v>0</v>
      </c>
      <c r="Y693" s="37">
        <v>0</v>
      </c>
      <c r="Z693" s="79">
        <v>0</v>
      </c>
      <c r="AA693" s="19">
        <f t="shared" si="181"/>
        <v>11320047.6</v>
      </c>
    </row>
    <row r="694" spans="1:27" s="12" customFormat="1" ht="93.75" customHeight="1" x14ac:dyDescent="0.25">
      <c r="A694" s="17">
        <f>IF(OR(D694=0,D694=""),"",COUNTA($D$535:D694))</f>
        <v>145</v>
      </c>
      <c r="B694" s="17" t="s">
        <v>890</v>
      </c>
      <c r="C694" s="90" t="s">
        <v>153</v>
      </c>
      <c r="D694" s="43">
        <v>1968</v>
      </c>
      <c r="E694" s="16">
        <v>5824.4</v>
      </c>
      <c r="F694" s="16">
        <v>4429.8</v>
      </c>
      <c r="G694" s="16">
        <v>1394.6</v>
      </c>
      <c r="H694" s="17" t="s">
        <v>257</v>
      </c>
      <c r="I694" s="15"/>
      <c r="J694" s="16">
        <f>406*E694</f>
        <v>2364706.4</v>
      </c>
      <c r="K694" s="16"/>
      <c r="L694" s="16"/>
      <c r="M694" s="16"/>
      <c r="N694" s="16"/>
      <c r="O694" s="16"/>
      <c r="P694" s="16">
        <f t="shared" si="188"/>
        <v>13442715.199999999</v>
      </c>
      <c r="Q694" s="16"/>
      <c r="R694" s="16"/>
      <c r="S694" s="16"/>
      <c r="T694" s="16"/>
      <c r="U694" s="16"/>
      <c r="V694" s="19">
        <f t="shared" si="180"/>
        <v>15807421.6</v>
      </c>
      <c r="W694" s="20" t="s">
        <v>1175</v>
      </c>
      <c r="X694" s="37">
        <v>0</v>
      </c>
      <c r="Y694" s="37">
        <v>0</v>
      </c>
      <c r="Z694" s="79">
        <v>0</v>
      </c>
      <c r="AA694" s="19">
        <f t="shared" si="181"/>
        <v>15807421.6</v>
      </c>
    </row>
    <row r="695" spans="1:27" s="12" customFormat="1" ht="93.75" customHeight="1" x14ac:dyDescent="0.25">
      <c r="A695" s="17">
        <f>IF(OR(D695=0,D695=""),"",COUNTA($D$535:D695))</f>
        <v>146</v>
      </c>
      <c r="B695" s="17" t="s">
        <v>795</v>
      </c>
      <c r="C695" s="90" t="s">
        <v>93</v>
      </c>
      <c r="D695" s="43">
        <v>1969</v>
      </c>
      <c r="E695" s="16">
        <v>4260.6000000000004</v>
      </c>
      <c r="F695" s="16">
        <v>3320</v>
      </c>
      <c r="G695" s="16">
        <v>0</v>
      </c>
      <c r="H695" s="17" t="s">
        <v>257</v>
      </c>
      <c r="I695" s="15"/>
      <c r="J695" s="16"/>
      <c r="K695" s="16"/>
      <c r="L695" s="16"/>
      <c r="M695" s="18"/>
      <c r="N695" s="16"/>
      <c r="O695" s="16"/>
      <c r="P695" s="16">
        <f t="shared" si="188"/>
        <v>9833464.8000000007</v>
      </c>
      <c r="Q695" s="16"/>
      <c r="R695" s="16"/>
      <c r="S695" s="16"/>
      <c r="T695" s="16"/>
      <c r="U695" s="16"/>
      <c r="V695" s="19">
        <f t="shared" si="180"/>
        <v>9833464.8000000007</v>
      </c>
      <c r="W695" s="20" t="s">
        <v>1175</v>
      </c>
      <c r="X695" s="37">
        <v>0</v>
      </c>
      <c r="Y695" s="37">
        <v>0</v>
      </c>
      <c r="Z695" s="79">
        <v>0</v>
      </c>
      <c r="AA695" s="19">
        <f t="shared" si="181"/>
        <v>9833464.8000000007</v>
      </c>
    </row>
    <row r="696" spans="1:27" s="12" customFormat="1" ht="93.75" customHeight="1" x14ac:dyDescent="0.25">
      <c r="A696" s="17">
        <f>IF(OR(D696=0,D696=""),"",COUNTA($D$535:D696))</f>
        <v>147</v>
      </c>
      <c r="B696" s="17" t="s">
        <v>800</v>
      </c>
      <c r="C696" s="90" t="s">
        <v>95</v>
      </c>
      <c r="D696" s="43">
        <v>1971</v>
      </c>
      <c r="E696" s="16">
        <v>5964.2</v>
      </c>
      <c r="F696" s="16">
        <v>4394.8999999999996</v>
      </c>
      <c r="G696" s="16">
        <v>0</v>
      </c>
      <c r="H696" s="17" t="s">
        <v>257</v>
      </c>
      <c r="I696" s="15"/>
      <c r="J696" s="16"/>
      <c r="K696" s="16"/>
      <c r="L696" s="16"/>
      <c r="M696" s="18"/>
      <c r="N696" s="16"/>
      <c r="O696" s="16"/>
      <c r="P696" s="16">
        <f t="shared" si="188"/>
        <v>13765373.6</v>
      </c>
      <c r="Q696" s="16"/>
      <c r="R696" s="16"/>
      <c r="S696" s="16"/>
      <c r="T696" s="16"/>
      <c r="U696" s="16"/>
      <c r="V696" s="19">
        <f t="shared" si="180"/>
        <v>13765373.6</v>
      </c>
      <c r="W696" s="20" t="s">
        <v>1175</v>
      </c>
      <c r="X696" s="37">
        <v>0</v>
      </c>
      <c r="Y696" s="37">
        <v>0</v>
      </c>
      <c r="Z696" s="79">
        <v>0</v>
      </c>
      <c r="AA696" s="19">
        <f t="shared" si="181"/>
        <v>13765373.6</v>
      </c>
    </row>
    <row r="697" spans="1:27" s="12" customFormat="1" ht="93.75" customHeight="1" x14ac:dyDescent="0.25">
      <c r="A697" s="17">
        <f>IF(OR(D697=0,D697=""),"",COUNTA($D$535:D697))</f>
        <v>148</v>
      </c>
      <c r="B697" s="17" t="s">
        <v>873</v>
      </c>
      <c r="C697" s="90" t="s">
        <v>145</v>
      </c>
      <c r="D697" s="15">
        <v>1972</v>
      </c>
      <c r="E697" s="16">
        <v>5041.8999999999996</v>
      </c>
      <c r="F697" s="16">
        <v>3332.2</v>
      </c>
      <c r="G697" s="16">
        <v>0</v>
      </c>
      <c r="H697" s="17" t="s">
        <v>257</v>
      </c>
      <c r="I697" s="15"/>
      <c r="J697" s="16"/>
      <c r="K697" s="16"/>
      <c r="L697" s="16"/>
      <c r="M697" s="18"/>
      <c r="N697" s="16"/>
      <c r="O697" s="16"/>
      <c r="P697" s="16"/>
      <c r="Q697" s="16"/>
      <c r="R697" s="16">
        <f>E697*2763</f>
        <v>13930769.699999999</v>
      </c>
      <c r="S697" s="16"/>
      <c r="T697" s="16"/>
      <c r="U697" s="16"/>
      <c r="V697" s="19">
        <f t="shared" si="180"/>
        <v>13930769.699999999</v>
      </c>
      <c r="W697" s="20" t="s">
        <v>1175</v>
      </c>
      <c r="X697" s="37">
        <v>0</v>
      </c>
      <c r="Y697" s="37">
        <v>0</v>
      </c>
      <c r="Z697" s="79">
        <v>0</v>
      </c>
      <c r="AA697" s="19">
        <f t="shared" si="181"/>
        <v>13930769.699999999</v>
      </c>
    </row>
    <row r="698" spans="1:27" s="12" customFormat="1" ht="93.75" customHeight="1" x14ac:dyDescent="0.25">
      <c r="A698" s="17">
        <f>IF(OR(D698=0,D698=""),"",COUNTA($D$535:D698))</f>
        <v>149</v>
      </c>
      <c r="B698" s="17" t="s">
        <v>779</v>
      </c>
      <c r="C698" s="90" t="s">
        <v>86</v>
      </c>
      <c r="D698" s="43">
        <v>1972</v>
      </c>
      <c r="E698" s="16">
        <v>3753.5</v>
      </c>
      <c r="F698" s="16">
        <v>2729</v>
      </c>
      <c r="G698" s="16">
        <v>0</v>
      </c>
      <c r="H698" s="17" t="s">
        <v>257</v>
      </c>
      <c r="I698" s="15"/>
      <c r="J698" s="16"/>
      <c r="K698" s="16"/>
      <c r="L698" s="16"/>
      <c r="M698" s="18"/>
      <c r="N698" s="16"/>
      <c r="O698" s="16"/>
      <c r="P698" s="16">
        <f t="shared" si="188"/>
        <v>8663078</v>
      </c>
      <c r="Q698" s="16"/>
      <c r="R698" s="16"/>
      <c r="S698" s="16"/>
      <c r="T698" s="16"/>
      <c r="U698" s="16"/>
      <c r="V698" s="19">
        <f t="shared" si="180"/>
        <v>8663078</v>
      </c>
      <c r="W698" s="20" t="s">
        <v>1175</v>
      </c>
      <c r="X698" s="37">
        <v>0</v>
      </c>
      <c r="Y698" s="37">
        <v>0</v>
      </c>
      <c r="Z698" s="79">
        <v>0</v>
      </c>
      <c r="AA698" s="19">
        <f t="shared" si="181"/>
        <v>8663078</v>
      </c>
    </row>
    <row r="699" spans="1:27" s="12" customFormat="1" ht="93.75" customHeight="1" x14ac:dyDescent="0.25">
      <c r="A699" s="17">
        <f>IF(OR(D699=0,D699=""),"",COUNTA($D$535:D699))</f>
        <v>150</v>
      </c>
      <c r="B699" s="17" t="s">
        <v>821</v>
      </c>
      <c r="C699" s="90" t="s">
        <v>108</v>
      </c>
      <c r="D699" s="43">
        <v>1972</v>
      </c>
      <c r="E699" s="15">
        <v>5848.18</v>
      </c>
      <c r="F699" s="15">
        <v>4413.08</v>
      </c>
      <c r="G699" s="16">
        <v>58.6</v>
      </c>
      <c r="H699" s="17" t="s">
        <v>257</v>
      </c>
      <c r="I699" s="15"/>
      <c r="J699" s="16"/>
      <c r="K699" s="16"/>
      <c r="L699" s="16"/>
      <c r="M699" s="18"/>
      <c r="N699" s="16"/>
      <c r="O699" s="16"/>
      <c r="P699" s="16">
        <f t="shared" si="188"/>
        <v>13497599.440000001</v>
      </c>
      <c r="Q699" s="16"/>
      <c r="R699" s="16"/>
      <c r="S699" s="16"/>
      <c r="T699" s="16"/>
      <c r="U699" s="16"/>
      <c r="V699" s="19">
        <f t="shared" si="180"/>
        <v>13497599.440000001</v>
      </c>
      <c r="W699" s="20" t="s">
        <v>1175</v>
      </c>
      <c r="X699" s="37">
        <v>0</v>
      </c>
      <c r="Y699" s="37">
        <v>0</v>
      </c>
      <c r="Z699" s="79">
        <v>0</v>
      </c>
      <c r="AA699" s="19">
        <f t="shared" si="181"/>
        <v>13497599.440000001</v>
      </c>
    </row>
    <row r="700" spans="1:27" s="12" customFormat="1" ht="93.75" customHeight="1" x14ac:dyDescent="0.25">
      <c r="A700" s="17">
        <f>IF(OR(D700=0,D700=""),"",COUNTA($D$535:D700))</f>
        <v>151</v>
      </c>
      <c r="B700" s="17" t="s">
        <v>822</v>
      </c>
      <c r="C700" s="90" t="s">
        <v>109</v>
      </c>
      <c r="D700" s="43">
        <v>1972</v>
      </c>
      <c r="E700" s="15">
        <v>4259.82</v>
      </c>
      <c r="F700" s="15">
        <v>3285.12</v>
      </c>
      <c r="G700" s="16">
        <v>0</v>
      </c>
      <c r="H700" s="17" t="s">
        <v>257</v>
      </c>
      <c r="I700" s="15"/>
      <c r="J700" s="16"/>
      <c r="K700" s="16"/>
      <c r="L700" s="16"/>
      <c r="M700" s="18"/>
      <c r="N700" s="16"/>
      <c r="O700" s="16"/>
      <c r="P700" s="16">
        <f t="shared" si="188"/>
        <v>9831664.5599999987</v>
      </c>
      <c r="Q700" s="16"/>
      <c r="R700" s="16"/>
      <c r="S700" s="16"/>
      <c r="T700" s="16"/>
      <c r="U700" s="16"/>
      <c r="V700" s="19">
        <f t="shared" si="180"/>
        <v>9831664.5599999987</v>
      </c>
      <c r="W700" s="20" t="s">
        <v>1175</v>
      </c>
      <c r="X700" s="37">
        <v>0</v>
      </c>
      <c r="Y700" s="37">
        <v>0</v>
      </c>
      <c r="Z700" s="79">
        <v>0</v>
      </c>
      <c r="AA700" s="19">
        <f t="shared" si="181"/>
        <v>9831664.5599999987</v>
      </c>
    </row>
    <row r="701" spans="1:27" s="12" customFormat="1" ht="93.75" customHeight="1" x14ac:dyDescent="0.25">
      <c r="A701" s="17">
        <f>IF(OR(D701=0,D701=""),"",COUNTA($D$535:D701))</f>
        <v>152</v>
      </c>
      <c r="B701" s="17" t="s">
        <v>829</v>
      </c>
      <c r="C701" s="90" t="s">
        <v>113</v>
      </c>
      <c r="D701" s="43">
        <v>1972</v>
      </c>
      <c r="E701" s="16">
        <v>4797</v>
      </c>
      <c r="F701" s="16">
        <v>3174.6</v>
      </c>
      <c r="G701" s="16">
        <v>1065.4000000000001</v>
      </c>
      <c r="H701" s="17" t="s">
        <v>257</v>
      </c>
      <c r="I701" s="15"/>
      <c r="J701" s="16"/>
      <c r="K701" s="16"/>
      <c r="L701" s="16"/>
      <c r="M701" s="18"/>
      <c r="N701" s="16"/>
      <c r="O701" s="16"/>
      <c r="P701" s="16">
        <f t="shared" si="188"/>
        <v>11071476</v>
      </c>
      <c r="Q701" s="16"/>
      <c r="R701" s="16"/>
      <c r="S701" s="16"/>
      <c r="T701" s="16"/>
      <c r="U701" s="16"/>
      <c r="V701" s="19">
        <f t="shared" si="180"/>
        <v>11071476</v>
      </c>
      <c r="W701" s="20" t="s">
        <v>1175</v>
      </c>
      <c r="X701" s="37">
        <v>0</v>
      </c>
      <c r="Y701" s="37">
        <v>0</v>
      </c>
      <c r="Z701" s="79">
        <v>0</v>
      </c>
      <c r="AA701" s="19">
        <f t="shared" si="181"/>
        <v>11071476</v>
      </c>
    </row>
    <row r="702" spans="1:27" s="12" customFormat="1" ht="93.75" customHeight="1" x14ac:dyDescent="0.25">
      <c r="A702" s="17">
        <f>IF(OR(D702=0,D702=""),"",COUNTA($D$535:D702))</f>
        <v>153</v>
      </c>
      <c r="B702" s="17" t="s">
        <v>844</v>
      </c>
      <c r="C702" s="90" t="s">
        <v>125</v>
      </c>
      <c r="D702" s="43">
        <v>1972</v>
      </c>
      <c r="E702" s="16">
        <v>5690.3</v>
      </c>
      <c r="F702" s="16">
        <v>4367.1000000000004</v>
      </c>
      <c r="G702" s="16">
        <v>1323.2</v>
      </c>
      <c r="H702" s="17" t="s">
        <v>257</v>
      </c>
      <c r="I702" s="15"/>
      <c r="J702" s="16"/>
      <c r="K702" s="16"/>
      <c r="L702" s="16"/>
      <c r="M702" s="18"/>
      <c r="N702" s="16"/>
      <c r="O702" s="16"/>
      <c r="P702" s="16"/>
      <c r="Q702" s="16"/>
      <c r="R702" s="16">
        <f>E702*2763</f>
        <v>15722298.9</v>
      </c>
      <c r="S702" s="16"/>
      <c r="T702" s="16"/>
      <c r="U702" s="16"/>
      <c r="V702" s="19">
        <f t="shared" si="180"/>
        <v>15722298.9</v>
      </c>
      <c r="W702" s="20" t="s">
        <v>1175</v>
      </c>
      <c r="X702" s="37">
        <v>0</v>
      </c>
      <c r="Y702" s="37">
        <v>0</v>
      </c>
      <c r="Z702" s="79">
        <v>0</v>
      </c>
      <c r="AA702" s="19">
        <f t="shared" si="181"/>
        <v>15722298.9</v>
      </c>
    </row>
    <row r="703" spans="1:27" s="12" customFormat="1" ht="93.75" customHeight="1" x14ac:dyDescent="0.25">
      <c r="A703" s="17">
        <f>IF(OR(D703=0,D703=""),"",COUNTA($D$535:D703))</f>
        <v>154</v>
      </c>
      <c r="B703" s="17" t="s">
        <v>807</v>
      </c>
      <c r="C703" s="90" t="s">
        <v>101</v>
      </c>
      <c r="D703" s="43">
        <v>1973</v>
      </c>
      <c r="E703" s="16">
        <v>2285.8000000000002</v>
      </c>
      <c r="F703" s="16">
        <v>1700.5</v>
      </c>
      <c r="G703" s="16">
        <v>0</v>
      </c>
      <c r="H703" s="17" t="s">
        <v>257</v>
      </c>
      <c r="I703" s="15"/>
      <c r="J703" s="16"/>
      <c r="K703" s="16"/>
      <c r="L703" s="16"/>
      <c r="M703" s="18"/>
      <c r="N703" s="16"/>
      <c r="O703" s="16"/>
      <c r="P703" s="16">
        <f>2308*E703</f>
        <v>5275626.4000000004</v>
      </c>
      <c r="Q703" s="16"/>
      <c r="R703" s="16"/>
      <c r="S703" s="16"/>
      <c r="T703" s="16"/>
      <c r="U703" s="16"/>
      <c r="V703" s="19">
        <f t="shared" si="180"/>
        <v>5275626.4000000004</v>
      </c>
      <c r="W703" s="20" t="s">
        <v>1175</v>
      </c>
      <c r="X703" s="37">
        <v>0</v>
      </c>
      <c r="Y703" s="37">
        <v>0</v>
      </c>
      <c r="Z703" s="79">
        <v>0</v>
      </c>
      <c r="AA703" s="19">
        <f t="shared" si="181"/>
        <v>5275626.4000000004</v>
      </c>
    </row>
    <row r="704" spans="1:27" s="12" customFormat="1" ht="93.75" customHeight="1" x14ac:dyDescent="0.25">
      <c r="A704" s="17">
        <f>IF(OR(D704=0,D704=""),"",COUNTA($D$535:D704))</f>
        <v>155</v>
      </c>
      <c r="B704" s="17" t="s">
        <v>712</v>
      </c>
      <c r="C704" s="90" t="s">
        <v>451</v>
      </c>
      <c r="D704" s="43">
        <v>1958</v>
      </c>
      <c r="E704" s="16">
        <v>5148.8999999999996</v>
      </c>
      <c r="F704" s="16">
        <v>3578.9</v>
      </c>
      <c r="G704" s="16">
        <v>252.8</v>
      </c>
      <c r="H704" s="17" t="s">
        <v>406</v>
      </c>
      <c r="I704" s="15"/>
      <c r="J704" s="16"/>
      <c r="K704" s="16"/>
      <c r="L704" s="16"/>
      <c r="M704" s="18"/>
      <c r="N704" s="16"/>
      <c r="O704" s="16"/>
      <c r="P704" s="16">
        <f>E704*7791</f>
        <v>40115079.899999999</v>
      </c>
      <c r="Q704" s="16"/>
      <c r="R704" s="16">
        <f>E704*7525</f>
        <v>38745472.5</v>
      </c>
      <c r="S704" s="16"/>
      <c r="T704" s="16"/>
      <c r="U704" s="16"/>
      <c r="V704" s="19">
        <f t="shared" ref="V704:V711" si="191">J704+K704+L704+M704+N704+O704+P704+Q704+R704+S704+T704+U704</f>
        <v>78860552.400000006</v>
      </c>
      <c r="W704" s="20" t="s">
        <v>1175</v>
      </c>
      <c r="X704" s="37">
        <v>0</v>
      </c>
      <c r="Y704" s="37">
        <v>0</v>
      </c>
      <c r="Z704" s="79">
        <v>0</v>
      </c>
      <c r="AA704" s="19">
        <f t="shared" ref="AA704:AA711" si="192">V704-(X704+Y704+Z704)</f>
        <v>78860552.400000006</v>
      </c>
    </row>
    <row r="705" spans="1:27" s="12" customFormat="1" ht="93.75" customHeight="1" x14ac:dyDescent="0.25">
      <c r="A705" s="17">
        <f>IF(OR(D705=0,D705=""),"",COUNTA($D$535:D705))</f>
        <v>156</v>
      </c>
      <c r="B705" s="17" t="s">
        <v>761</v>
      </c>
      <c r="C705" s="90" t="s">
        <v>525</v>
      </c>
      <c r="D705" s="43">
        <v>1994</v>
      </c>
      <c r="E705" s="16">
        <v>3778.5</v>
      </c>
      <c r="F705" s="16">
        <v>3332.9</v>
      </c>
      <c r="G705" s="16">
        <v>0</v>
      </c>
      <c r="H705" s="17" t="s">
        <v>251</v>
      </c>
      <c r="I705" s="15"/>
      <c r="J705" s="16"/>
      <c r="K705" s="16"/>
      <c r="L705" s="16"/>
      <c r="M705" s="18"/>
      <c r="N705" s="16"/>
      <c r="O705" s="16"/>
      <c r="P705" s="16">
        <f>559*E705</f>
        <v>2112181.5</v>
      </c>
      <c r="Q705" s="16"/>
      <c r="R705" s="16"/>
      <c r="S705" s="16"/>
      <c r="T705" s="16"/>
      <c r="U705" s="16"/>
      <c r="V705" s="19">
        <f t="shared" si="191"/>
        <v>2112181.5</v>
      </c>
      <c r="W705" s="20" t="s">
        <v>1175</v>
      </c>
      <c r="X705" s="37">
        <v>0</v>
      </c>
      <c r="Y705" s="37">
        <v>0</v>
      </c>
      <c r="Z705" s="79">
        <v>0</v>
      </c>
      <c r="AA705" s="19">
        <f t="shared" si="192"/>
        <v>2112181.5</v>
      </c>
    </row>
    <row r="706" spans="1:27" s="12" customFormat="1" ht="93.75" customHeight="1" x14ac:dyDescent="0.25">
      <c r="A706" s="17">
        <f>IF(OR(D706=0,D706=""),"",COUNTA($D$535:D706))</f>
        <v>157</v>
      </c>
      <c r="B706" s="17" t="s">
        <v>1015</v>
      </c>
      <c r="C706" s="90" t="s">
        <v>203</v>
      </c>
      <c r="D706" s="43">
        <v>1989</v>
      </c>
      <c r="E706" s="16">
        <v>20137</v>
      </c>
      <c r="F706" s="16">
        <v>15708.5</v>
      </c>
      <c r="G706" s="16">
        <v>0</v>
      </c>
      <c r="H706" s="17" t="s">
        <v>255</v>
      </c>
      <c r="I706" s="15"/>
      <c r="J706" s="16"/>
      <c r="K706" s="16"/>
      <c r="L706" s="16"/>
      <c r="M706" s="18"/>
      <c r="N706" s="16"/>
      <c r="O706" s="16"/>
      <c r="P706" s="16">
        <f>E706*845</f>
        <v>17015765</v>
      </c>
      <c r="Q706" s="16"/>
      <c r="R706" s="16"/>
      <c r="S706" s="16"/>
      <c r="T706" s="16"/>
      <c r="U706" s="16"/>
      <c r="V706" s="19">
        <f t="shared" si="191"/>
        <v>17015765</v>
      </c>
      <c r="W706" s="20" t="s">
        <v>1175</v>
      </c>
      <c r="X706" s="37">
        <v>0</v>
      </c>
      <c r="Y706" s="37">
        <v>0</v>
      </c>
      <c r="Z706" s="79">
        <v>0</v>
      </c>
      <c r="AA706" s="19">
        <f t="shared" si="192"/>
        <v>17015765</v>
      </c>
    </row>
    <row r="707" spans="1:27" s="12" customFormat="1" ht="93.75" customHeight="1" x14ac:dyDescent="0.25">
      <c r="A707" s="17">
        <f>IF(OR(D707=0,D707=""),"",COUNTA($D$535:D707))</f>
        <v>158</v>
      </c>
      <c r="B707" s="17" t="s">
        <v>1017</v>
      </c>
      <c r="C707" s="90" t="s">
        <v>526</v>
      </c>
      <c r="D707" s="43">
        <v>1980</v>
      </c>
      <c r="E707" s="16">
        <v>15510.5</v>
      </c>
      <c r="F707" s="16">
        <v>11380</v>
      </c>
      <c r="G707" s="16">
        <v>4130.5</v>
      </c>
      <c r="H707" s="17" t="s">
        <v>255</v>
      </c>
      <c r="I707" s="15"/>
      <c r="J707" s="16"/>
      <c r="K707" s="16"/>
      <c r="L707" s="16"/>
      <c r="M707" s="18"/>
      <c r="N707" s="16"/>
      <c r="O707" s="16"/>
      <c r="P707" s="16">
        <f>E707*845</f>
        <v>13106372.5</v>
      </c>
      <c r="Q707" s="16"/>
      <c r="R707" s="16"/>
      <c r="S707" s="16"/>
      <c r="T707" s="16"/>
      <c r="U707" s="16"/>
      <c r="V707" s="19">
        <f t="shared" si="191"/>
        <v>13106372.5</v>
      </c>
      <c r="W707" s="20" t="s">
        <v>1175</v>
      </c>
      <c r="X707" s="37">
        <v>0</v>
      </c>
      <c r="Y707" s="37">
        <v>0</v>
      </c>
      <c r="Z707" s="79">
        <v>0</v>
      </c>
      <c r="AA707" s="19">
        <f t="shared" si="192"/>
        <v>13106372.5</v>
      </c>
    </row>
    <row r="708" spans="1:27" s="12" customFormat="1" ht="93.75" customHeight="1" x14ac:dyDescent="0.25">
      <c r="A708" s="17">
        <f>IF(OR(D708=0,D708=""),"",COUNTA($D$535:D708))</f>
        <v>159</v>
      </c>
      <c r="B708" s="17" t="s">
        <v>811</v>
      </c>
      <c r="C708" s="90" t="s">
        <v>104</v>
      </c>
      <c r="D708" s="43">
        <v>1973</v>
      </c>
      <c r="E708" s="16">
        <v>3655.3</v>
      </c>
      <c r="F708" s="16">
        <v>2694</v>
      </c>
      <c r="G708" s="16">
        <v>0</v>
      </c>
      <c r="H708" s="17" t="s">
        <v>257</v>
      </c>
      <c r="I708" s="15"/>
      <c r="J708" s="16"/>
      <c r="K708" s="16"/>
      <c r="L708" s="16"/>
      <c r="M708" s="18"/>
      <c r="N708" s="16"/>
      <c r="O708" s="16"/>
      <c r="P708" s="16">
        <f>2308*E708</f>
        <v>8436432.4000000004</v>
      </c>
      <c r="Q708" s="16"/>
      <c r="R708" s="16"/>
      <c r="S708" s="16"/>
      <c r="T708" s="16"/>
      <c r="U708" s="16"/>
      <c r="V708" s="19">
        <f t="shared" si="191"/>
        <v>8436432.4000000004</v>
      </c>
      <c r="W708" s="20" t="s">
        <v>1175</v>
      </c>
      <c r="X708" s="37">
        <v>0</v>
      </c>
      <c r="Y708" s="37">
        <v>0</v>
      </c>
      <c r="Z708" s="79">
        <v>0</v>
      </c>
      <c r="AA708" s="19">
        <f t="shared" si="192"/>
        <v>8436432.4000000004</v>
      </c>
    </row>
    <row r="709" spans="1:27" s="12" customFormat="1" ht="93.75" customHeight="1" x14ac:dyDescent="0.25">
      <c r="A709" s="17">
        <f>IF(OR(D709=0,D709=""),"",COUNTA($D$535:D709))</f>
        <v>160</v>
      </c>
      <c r="B709" s="17" t="s">
        <v>843</v>
      </c>
      <c r="C709" s="90" t="s">
        <v>124</v>
      </c>
      <c r="D709" s="43">
        <v>1973</v>
      </c>
      <c r="E709" s="16">
        <v>6016.9</v>
      </c>
      <c r="F709" s="16">
        <v>4414.3999999999996</v>
      </c>
      <c r="G709" s="16">
        <v>0</v>
      </c>
      <c r="H709" s="17" t="s">
        <v>256</v>
      </c>
      <c r="I709" s="15"/>
      <c r="J709" s="16"/>
      <c r="K709" s="16"/>
      <c r="L709" s="16"/>
      <c r="M709" s="18"/>
      <c r="N709" s="16"/>
      <c r="O709" s="16"/>
      <c r="P709" s="16">
        <f>2308*E709</f>
        <v>13887005.199999999</v>
      </c>
      <c r="Q709" s="16"/>
      <c r="R709" s="16">
        <f>E709*2763</f>
        <v>16624694.699999999</v>
      </c>
      <c r="S709" s="16"/>
      <c r="T709" s="16"/>
      <c r="U709" s="16"/>
      <c r="V709" s="19">
        <f t="shared" si="191"/>
        <v>30511699.899999999</v>
      </c>
      <c r="W709" s="20" t="s">
        <v>1175</v>
      </c>
      <c r="X709" s="37">
        <v>0</v>
      </c>
      <c r="Y709" s="37">
        <v>0</v>
      </c>
      <c r="Z709" s="79">
        <v>0</v>
      </c>
      <c r="AA709" s="19">
        <f t="shared" si="192"/>
        <v>30511699.899999999</v>
      </c>
    </row>
    <row r="710" spans="1:27" s="12" customFormat="1" ht="93.75" customHeight="1" x14ac:dyDescent="0.25">
      <c r="A710" s="17">
        <f>IF(OR(D710=0,D710=""),"",COUNTA($D$535:D710))</f>
        <v>161</v>
      </c>
      <c r="B710" s="17" t="s">
        <v>948</v>
      </c>
      <c r="C710" s="90" t="s">
        <v>178</v>
      </c>
      <c r="D710" s="43">
        <v>1973</v>
      </c>
      <c r="E710" s="16">
        <v>4330.6000000000004</v>
      </c>
      <c r="F710" s="16">
        <v>3281.2</v>
      </c>
      <c r="G710" s="16">
        <v>63</v>
      </c>
      <c r="H710" s="17" t="s">
        <v>257</v>
      </c>
      <c r="I710" s="15"/>
      <c r="J710" s="16"/>
      <c r="K710" s="16"/>
      <c r="L710" s="16"/>
      <c r="M710" s="18"/>
      <c r="N710" s="16"/>
      <c r="O710" s="16"/>
      <c r="P710" s="16">
        <f>2308*E710</f>
        <v>9995024.8000000007</v>
      </c>
      <c r="Q710" s="16"/>
      <c r="R710" s="16"/>
      <c r="S710" s="16"/>
      <c r="T710" s="16"/>
      <c r="U710" s="16"/>
      <c r="V710" s="19">
        <f t="shared" si="191"/>
        <v>9995024.8000000007</v>
      </c>
      <c r="W710" s="20" t="s">
        <v>1175</v>
      </c>
      <c r="X710" s="37">
        <v>0</v>
      </c>
      <c r="Y710" s="37">
        <v>0</v>
      </c>
      <c r="Z710" s="79">
        <v>0</v>
      </c>
      <c r="AA710" s="19">
        <f t="shared" si="192"/>
        <v>9995024.8000000007</v>
      </c>
    </row>
    <row r="711" spans="1:27" s="12" customFormat="1" ht="93.75" customHeight="1" x14ac:dyDescent="0.25">
      <c r="A711" s="17">
        <f>IF(OR(D711=0,D711=""),"",COUNTA($D$535:D711))</f>
        <v>162</v>
      </c>
      <c r="B711" s="17" t="s">
        <v>1013</v>
      </c>
      <c r="C711" s="90" t="s">
        <v>202</v>
      </c>
      <c r="D711" s="43">
        <v>1975</v>
      </c>
      <c r="E711" s="16">
        <v>4411.2</v>
      </c>
      <c r="F711" s="16">
        <v>3359</v>
      </c>
      <c r="G711" s="16">
        <v>1052.2</v>
      </c>
      <c r="H711" s="17" t="s">
        <v>257</v>
      </c>
      <c r="I711" s="15"/>
      <c r="J711" s="16"/>
      <c r="K711" s="16"/>
      <c r="L711" s="16"/>
      <c r="M711" s="18"/>
      <c r="N711" s="16"/>
      <c r="O711" s="16"/>
      <c r="P711" s="16">
        <f>2308*E711</f>
        <v>10181049.6</v>
      </c>
      <c r="Q711" s="16"/>
      <c r="R711" s="16">
        <f>E711*2763</f>
        <v>12188145.6</v>
      </c>
      <c r="S711" s="16"/>
      <c r="T711" s="16"/>
      <c r="U711" s="16"/>
      <c r="V711" s="19">
        <f t="shared" si="191"/>
        <v>22369195.199999999</v>
      </c>
      <c r="W711" s="20" t="s">
        <v>1175</v>
      </c>
      <c r="X711" s="37">
        <v>0</v>
      </c>
      <c r="Y711" s="37">
        <v>0</v>
      </c>
      <c r="Z711" s="79">
        <v>0</v>
      </c>
      <c r="AA711" s="19">
        <f t="shared" si="192"/>
        <v>22369195.199999999</v>
      </c>
    </row>
    <row r="712" spans="1:27" s="13" customFormat="1" ht="93.75" customHeight="1" x14ac:dyDescent="0.25">
      <c r="A712" s="17" t="str">
        <f>IF(OR(D712=0,D712=""),"",COUNTA($D$535:D712))</f>
        <v/>
      </c>
      <c r="B712" s="17"/>
      <c r="C712" s="89"/>
      <c r="D712" s="21"/>
      <c r="E712" s="26">
        <f>SUM(E579:E711)</f>
        <v>763211.3199999996</v>
      </c>
      <c r="F712" s="26">
        <f>SUM(F579:F711)</f>
        <v>554979.45000000007</v>
      </c>
      <c r="G712" s="26">
        <f>SUM(G579:G711)</f>
        <v>44827.659999999996</v>
      </c>
      <c r="H712" s="17"/>
      <c r="I712" s="15"/>
      <c r="J712" s="26"/>
      <c r="K712" s="26"/>
      <c r="L712" s="26"/>
      <c r="M712" s="29"/>
      <c r="N712" s="26"/>
      <c r="O712" s="26"/>
      <c r="P712" s="26"/>
      <c r="Q712" s="26"/>
      <c r="R712" s="26"/>
      <c r="S712" s="26"/>
      <c r="T712" s="26"/>
      <c r="U712" s="17"/>
      <c r="V712" s="26">
        <f>SUM(V579:V711)</f>
        <v>1650911090.7560999</v>
      </c>
      <c r="W712" s="26"/>
      <c r="X712" s="26">
        <f>SUM(X579:X711)</f>
        <v>0</v>
      </c>
      <c r="Y712" s="26">
        <f>SUM(Y579:Y711)</f>
        <v>0</v>
      </c>
      <c r="Z712" s="80">
        <f>SUM(Z579:Z711)</f>
        <v>0</v>
      </c>
      <c r="AA712" s="28">
        <f t="shared" ref="AA712" si="193">V712-(X712+Y712+Z712)</f>
        <v>1650911090.7560999</v>
      </c>
    </row>
    <row r="713" spans="1:27" s="12" customFormat="1" ht="93.75" customHeight="1" x14ac:dyDescent="0.25">
      <c r="A713" s="17" t="str">
        <f>IF(OR(D713=0,D713=""),"",COUNTA($D$535:D713))</f>
        <v/>
      </c>
      <c r="B713" s="17"/>
      <c r="C713" s="89" t="s">
        <v>1204</v>
      </c>
      <c r="D713" s="43"/>
      <c r="E713" s="16"/>
      <c r="F713" s="16"/>
      <c r="G713" s="16"/>
      <c r="H713" s="17"/>
      <c r="I713" s="15"/>
      <c r="J713" s="16"/>
      <c r="K713" s="16"/>
      <c r="L713" s="16"/>
      <c r="M713" s="18"/>
      <c r="N713" s="16"/>
      <c r="O713" s="16"/>
      <c r="P713" s="16"/>
      <c r="Q713" s="16"/>
      <c r="R713" s="16"/>
      <c r="S713" s="16"/>
      <c r="T713" s="16"/>
      <c r="U713" s="15"/>
      <c r="V713" s="19"/>
      <c r="W713" s="20"/>
      <c r="X713" s="37"/>
      <c r="Y713" s="37"/>
      <c r="Z713" s="20"/>
      <c r="AA713" s="19"/>
    </row>
    <row r="714" spans="1:27" s="12" customFormat="1" ht="93.75" customHeight="1" x14ac:dyDescent="0.25">
      <c r="A714" s="17">
        <f>IF(OR(D714=0,D714=""),"",COUNTA($D$535:D714))</f>
        <v>163</v>
      </c>
      <c r="B714" s="17" t="s">
        <v>1042</v>
      </c>
      <c r="C714" s="90" t="s">
        <v>589</v>
      </c>
      <c r="D714" s="43">
        <v>1988</v>
      </c>
      <c r="E714" s="16">
        <v>1875.3</v>
      </c>
      <c r="F714" s="16">
        <v>1713.3</v>
      </c>
      <c r="G714" s="16">
        <v>186.7</v>
      </c>
      <c r="H714" s="17" t="s">
        <v>256</v>
      </c>
      <c r="I714" s="15"/>
      <c r="J714" s="16"/>
      <c r="K714" s="16"/>
      <c r="L714" s="16"/>
      <c r="M714" s="18"/>
      <c r="N714" s="16"/>
      <c r="O714" s="16"/>
      <c r="P714" s="16">
        <f>2308*E714</f>
        <v>4328192.3999999994</v>
      </c>
      <c r="Q714" s="16"/>
      <c r="R714" s="16"/>
      <c r="S714" s="16"/>
      <c r="T714" s="16"/>
      <c r="U714" s="16"/>
      <c r="V714" s="19">
        <f t="shared" ref="V714:V716" si="194">J714+K714+L714+M714+N714+O714+P714+Q714+R714+S714+T714+U714</f>
        <v>4328192.3999999994</v>
      </c>
      <c r="W714" s="20" t="s">
        <v>1175</v>
      </c>
      <c r="X714" s="37">
        <v>0</v>
      </c>
      <c r="Y714" s="37">
        <v>0</v>
      </c>
      <c r="Z714" s="79">
        <v>0</v>
      </c>
      <c r="AA714" s="19">
        <f t="shared" ref="AA714:AA716" si="195">V714-(X714+Y714+Z714)</f>
        <v>4328192.3999999994</v>
      </c>
    </row>
    <row r="715" spans="1:27" s="12" customFormat="1" ht="93.75" customHeight="1" x14ac:dyDescent="0.25">
      <c r="A715" s="17">
        <f>IF(OR(D715=0,D715=""),"",COUNTA($D$535:D715))</f>
        <v>164</v>
      </c>
      <c r="B715" s="17" t="s">
        <v>1046</v>
      </c>
      <c r="C715" s="90" t="s">
        <v>556</v>
      </c>
      <c r="D715" s="43">
        <v>1994</v>
      </c>
      <c r="E715" s="16">
        <v>1340</v>
      </c>
      <c r="F715" s="16">
        <v>487</v>
      </c>
      <c r="G715" s="16">
        <v>791.5</v>
      </c>
      <c r="H715" s="17" t="s">
        <v>257</v>
      </c>
      <c r="I715" s="15"/>
      <c r="J715" s="16"/>
      <c r="K715" s="16"/>
      <c r="L715" s="16"/>
      <c r="M715" s="18"/>
      <c r="N715" s="16"/>
      <c r="O715" s="16"/>
      <c r="P715" s="16">
        <f>2308*E715</f>
        <v>3092720</v>
      </c>
      <c r="Q715" s="16"/>
      <c r="R715" s="16"/>
      <c r="S715" s="16"/>
      <c r="T715" s="16"/>
      <c r="U715" s="16"/>
      <c r="V715" s="19">
        <f t="shared" si="194"/>
        <v>3092720</v>
      </c>
      <c r="W715" s="20" t="s">
        <v>1175</v>
      </c>
      <c r="X715" s="37">
        <v>0</v>
      </c>
      <c r="Y715" s="37">
        <v>0</v>
      </c>
      <c r="Z715" s="79">
        <v>0</v>
      </c>
      <c r="AA715" s="19">
        <f t="shared" si="195"/>
        <v>3092720</v>
      </c>
    </row>
    <row r="716" spans="1:27" s="12" customFormat="1" ht="93.75" customHeight="1" x14ac:dyDescent="0.25">
      <c r="A716" s="17">
        <f>IF(OR(D716=0,D716=""),"",COUNTA($D$535:D716))</f>
        <v>165</v>
      </c>
      <c r="B716" s="17" t="s">
        <v>1041</v>
      </c>
      <c r="C716" s="90" t="s">
        <v>216</v>
      </c>
      <c r="D716" s="43">
        <v>1973</v>
      </c>
      <c r="E716" s="16">
        <v>3099</v>
      </c>
      <c r="F716" s="16">
        <v>2090.1</v>
      </c>
      <c r="G716" s="16">
        <v>1009.3</v>
      </c>
      <c r="H716" s="17" t="s">
        <v>257</v>
      </c>
      <c r="I716" s="15"/>
      <c r="J716" s="16"/>
      <c r="K716" s="16"/>
      <c r="L716" s="16"/>
      <c r="M716" s="18"/>
      <c r="N716" s="16"/>
      <c r="O716" s="16"/>
      <c r="P716" s="16">
        <f>2308*E716</f>
        <v>7152492</v>
      </c>
      <c r="Q716" s="16"/>
      <c r="R716" s="16"/>
      <c r="S716" s="16"/>
      <c r="T716" s="16"/>
      <c r="U716" s="16"/>
      <c r="V716" s="19">
        <f t="shared" si="194"/>
        <v>7152492</v>
      </c>
      <c r="W716" s="20" t="s">
        <v>1175</v>
      </c>
      <c r="X716" s="37">
        <v>0</v>
      </c>
      <c r="Y716" s="37">
        <v>0</v>
      </c>
      <c r="Z716" s="79">
        <v>0</v>
      </c>
      <c r="AA716" s="19">
        <f t="shared" si="195"/>
        <v>7152492</v>
      </c>
    </row>
    <row r="717" spans="1:27" s="13" customFormat="1" ht="93.75" customHeight="1" x14ac:dyDescent="0.25">
      <c r="A717" s="17" t="str">
        <f>IF(OR(D717=0,D717=""),"",COUNTA($D$535:D717))</f>
        <v/>
      </c>
      <c r="B717" s="17"/>
      <c r="C717" s="89"/>
      <c r="D717" s="21"/>
      <c r="E717" s="26">
        <f>SUM(E714:E716)</f>
        <v>6314.3</v>
      </c>
      <c r="F717" s="26">
        <f>SUM(F714:F716)</f>
        <v>4290.3999999999996</v>
      </c>
      <c r="G717" s="26">
        <f>SUM(G714:G716)</f>
        <v>1987.5</v>
      </c>
      <c r="H717" s="17"/>
      <c r="I717" s="15"/>
      <c r="J717" s="26"/>
      <c r="K717" s="26"/>
      <c r="L717" s="26"/>
      <c r="M717" s="29"/>
      <c r="N717" s="26"/>
      <c r="O717" s="26"/>
      <c r="P717" s="26"/>
      <c r="Q717" s="26"/>
      <c r="R717" s="26"/>
      <c r="S717" s="26"/>
      <c r="T717" s="26"/>
      <c r="U717" s="17"/>
      <c r="V717" s="28">
        <f>SUM(V714:V716)</f>
        <v>14573404.399999999</v>
      </c>
      <c r="W717" s="28"/>
      <c r="X717" s="28">
        <f>SUM(X714:X716)</f>
        <v>0</v>
      </c>
      <c r="Y717" s="28">
        <f>SUM(Y714:Y716)</f>
        <v>0</v>
      </c>
      <c r="Z717" s="81">
        <f>SUM(Z714:Z716)</f>
        <v>0</v>
      </c>
      <c r="AA717" s="28">
        <f t="shared" ref="AA717" si="196">V717-(X717+Y717+Z717)</f>
        <v>14573404.399999999</v>
      </c>
    </row>
    <row r="718" spans="1:27" s="12" customFormat="1" ht="93.75" customHeight="1" x14ac:dyDescent="0.25">
      <c r="A718" s="17" t="str">
        <f>IF(OR(D718=0,D718=""),"",COUNTA($D$535:D718))</f>
        <v/>
      </c>
      <c r="B718" s="17"/>
      <c r="C718" s="89" t="s">
        <v>1220</v>
      </c>
      <c r="D718" s="43"/>
      <c r="E718" s="16"/>
      <c r="F718" s="16"/>
      <c r="G718" s="16"/>
      <c r="H718" s="17"/>
      <c r="I718" s="15"/>
      <c r="J718" s="16"/>
      <c r="K718" s="16"/>
      <c r="L718" s="16"/>
      <c r="M718" s="18"/>
      <c r="N718" s="16"/>
      <c r="O718" s="16"/>
      <c r="P718" s="16"/>
      <c r="Q718" s="16"/>
      <c r="R718" s="16"/>
      <c r="S718" s="16"/>
      <c r="T718" s="16"/>
      <c r="U718" s="15"/>
      <c r="V718" s="19"/>
      <c r="W718" s="20"/>
      <c r="X718" s="37"/>
      <c r="Y718" s="37"/>
      <c r="Z718" s="20"/>
      <c r="AA718" s="19"/>
    </row>
    <row r="719" spans="1:27" s="12" customFormat="1" ht="93.75" customHeight="1" x14ac:dyDescent="0.25">
      <c r="A719" s="17">
        <f>IF(OR(D719=0,D719=""),"",COUNTA($D$535:D719))</f>
        <v>166</v>
      </c>
      <c r="B719" s="17" t="s">
        <v>1049</v>
      </c>
      <c r="C719" s="90" t="s">
        <v>217</v>
      </c>
      <c r="D719" s="43">
        <v>1971</v>
      </c>
      <c r="E719" s="16">
        <v>5474.4</v>
      </c>
      <c r="F719" s="16">
        <v>3907.5</v>
      </c>
      <c r="G719" s="16">
        <v>0</v>
      </c>
      <c r="H719" s="17" t="s">
        <v>257</v>
      </c>
      <c r="I719" s="15"/>
      <c r="J719" s="16"/>
      <c r="K719" s="16"/>
      <c r="L719" s="16"/>
      <c r="M719" s="18"/>
      <c r="N719" s="16"/>
      <c r="O719" s="16"/>
      <c r="P719" s="16">
        <f>2308*E719</f>
        <v>12634915.199999999</v>
      </c>
      <c r="Q719" s="16"/>
      <c r="R719" s="16"/>
      <c r="S719" s="16"/>
      <c r="T719" s="16"/>
      <c r="U719" s="16"/>
      <c r="V719" s="19">
        <f t="shared" ref="V719:V723" si="197">J719+K719+L719+M719+N719+O719+P719+Q719+R719+S719+T719+U719</f>
        <v>12634915.199999999</v>
      </c>
      <c r="W719" s="20" t="s">
        <v>1175</v>
      </c>
      <c r="X719" s="37">
        <v>0</v>
      </c>
      <c r="Y719" s="37">
        <v>0</v>
      </c>
      <c r="Z719" s="79">
        <v>0</v>
      </c>
      <c r="AA719" s="19">
        <f t="shared" ref="AA719:AA723" si="198">V719-(X719+Y719+Z719)</f>
        <v>12634915.199999999</v>
      </c>
    </row>
    <row r="720" spans="1:27" s="12" customFormat="1" ht="93.75" customHeight="1" x14ac:dyDescent="0.25">
      <c r="A720" s="17">
        <f>IF(OR(D720=0,D720=""),"",COUNTA($D$535:D720))</f>
        <v>167</v>
      </c>
      <c r="B720" s="17" t="s">
        <v>1050</v>
      </c>
      <c r="C720" s="90" t="s">
        <v>218</v>
      </c>
      <c r="D720" s="43">
        <v>1971</v>
      </c>
      <c r="E720" s="16">
        <v>5377.5</v>
      </c>
      <c r="F720" s="16">
        <v>3825</v>
      </c>
      <c r="G720" s="16">
        <v>0</v>
      </c>
      <c r="H720" s="17" t="s">
        <v>257</v>
      </c>
      <c r="I720" s="15"/>
      <c r="J720" s="16"/>
      <c r="K720" s="16"/>
      <c r="L720" s="16"/>
      <c r="M720" s="18"/>
      <c r="N720" s="16"/>
      <c r="O720" s="16"/>
      <c r="P720" s="16">
        <f>2308*E720</f>
        <v>12411270</v>
      </c>
      <c r="Q720" s="16"/>
      <c r="R720" s="16"/>
      <c r="S720" s="16"/>
      <c r="T720" s="16"/>
      <c r="U720" s="16"/>
      <c r="V720" s="19">
        <f t="shared" si="197"/>
        <v>12411270</v>
      </c>
      <c r="W720" s="20" t="s">
        <v>1175</v>
      </c>
      <c r="X720" s="37">
        <v>0</v>
      </c>
      <c r="Y720" s="37">
        <v>0</v>
      </c>
      <c r="Z720" s="79">
        <v>0</v>
      </c>
      <c r="AA720" s="19">
        <f t="shared" si="198"/>
        <v>12411270</v>
      </c>
    </row>
    <row r="721" spans="1:27" s="12" customFormat="1" ht="93.75" customHeight="1" x14ac:dyDescent="0.25">
      <c r="A721" s="17">
        <f>IF(OR(D721=0,D721=""),"",COUNTA($D$535:D721))</f>
        <v>168</v>
      </c>
      <c r="B721" s="17" t="s">
        <v>1051</v>
      </c>
      <c r="C721" s="90" t="s">
        <v>219</v>
      </c>
      <c r="D721" s="43">
        <v>1972</v>
      </c>
      <c r="E721" s="16">
        <v>5344.8</v>
      </c>
      <c r="F721" s="16">
        <v>3797.8</v>
      </c>
      <c r="G721" s="16">
        <v>29.3</v>
      </c>
      <c r="H721" s="17" t="s">
        <v>257</v>
      </c>
      <c r="I721" s="15"/>
      <c r="J721" s="16"/>
      <c r="K721" s="16"/>
      <c r="L721" s="16"/>
      <c r="M721" s="18"/>
      <c r="N721" s="16"/>
      <c r="O721" s="16"/>
      <c r="P721" s="16">
        <f>2308*E721</f>
        <v>12335798.4</v>
      </c>
      <c r="Q721" s="16"/>
      <c r="R721" s="16"/>
      <c r="S721" s="16"/>
      <c r="T721" s="16"/>
      <c r="U721" s="16"/>
      <c r="V721" s="19">
        <f t="shared" si="197"/>
        <v>12335798.4</v>
      </c>
      <c r="W721" s="20" t="s">
        <v>1175</v>
      </c>
      <c r="X721" s="37">
        <v>0</v>
      </c>
      <c r="Y721" s="37">
        <v>0</v>
      </c>
      <c r="Z721" s="79">
        <v>0</v>
      </c>
      <c r="AA721" s="19">
        <f t="shared" si="198"/>
        <v>12335798.4</v>
      </c>
    </row>
    <row r="722" spans="1:27" s="12" customFormat="1" ht="93.75" customHeight="1" x14ac:dyDescent="0.25">
      <c r="A722" s="17">
        <f>IF(OR(D722=0,D722=""),"",COUNTA($D$535:D722))</f>
        <v>169</v>
      </c>
      <c r="B722" s="17" t="s">
        <v>1052</v>
      </c>
      <c r="C722" s="90" t="s">
        <v>220</v>
      </c>
      <c r="D722" s="43">
        <v>1972</v>
      </c>
      <c r="E722" s="16">
        <v>4142.2</v>
      </c>
      <c r="F722" s="16">
        <v>2979.6</v>
      </c>
      <c r="G722" s="16">
        <v>0</v>
      </c>
      <c r="H722" s="17" t="s">
        <v>257</v>
      </c>
      <c r="I722" s="15"/>
      <c r="J722" s="16"/>
      <c r="K722" s="16"/>
      <c r="L722" s="16"/>
      <c r="M722" s="18"/>
      <c r="N722" s="16"/>
      <c r="O722" s="16"/>
      <c r="P722" s="16">
        <f>2308*E722</f>
        <v>9560197.5999999996</v>
      </c>
      <c r="Q722" s="16"/>
      <c r="R722" s="16"/>
      <c r="S722" s="16"/>
      <c r="T722" s="16"/>
      <c r="U722" s="16"/>
      <c r="V722" s="19">
        <f t="shared" si="197"/>
        <v>9560197.5999999996</v>
      </c>
      <c r="W722" s="20" t="s">
        <v>1175</v>
      </c>
      <c r="X722" s="37">
        <v>0</v>
      </c>
      <c r="Y722" s="37">
        <v>0</v>
      </c>
      <c r="Z722" s="79">
        <v>0</v>
      </c>
      <c r="AA722" s="19">
        <f t="shared" si="198"/>
        <v>9560197.5999999996</v>
      </c>
    </row>
    <row r="723" spans="1:27" s="12" customFormat="1" ht="93.75" customHeight="1" x14ac:dyDescent="0.25">
      <c r="A723" s="17">
        <f>IF(OR(D723=0,D723=""),"",COUNTA($D$535:D723))</f>
        <v>170</v>
      </c>
      <c r="B723" s="17" t="s">
        <v>1053</v>
      </c>
      <c r="C723" s="90" t="s">
        <v>221</v>
      </c>
      <c r="D723" s="43">
        <v>1972</v>
      </c>
      <c r="E723" s="16">
        <v>4206.3999999999996</v>
      </c>
      <c r="F723" s="16">
        <v>3031.8</v>
      </c>
      <c r="G723" s="16">
        <v>0</v>
      </c>
      <c r="H723" s="17" t="s">
        <v>257</v>
      </c>
      <c r="I723" s="15"/>
      <c r="J723" s="16"/>
      <c r="K723" s="16"/>
      <c r="L723" s="16"/>
      <c r="M723" s="18"/>
      <c r="N723" s="16"/>
      <c r="O723" s="16"/>
      <c r="P723" s="16">
        <f>2308*E723</f>
        <v>9708371.1999999993</v>
      </c>
      <c r="Q723" s="16"/>
      <c r="R723" s="16"/>
      <c r="S723" s="16"/>
      <c r="T723" s="16"/>
      <c r="U723" s="16"/>
      <c r="V723" s="19">
        <f t="shared" si="197"/>
        <v>9708371.1999999993</v>
      </c>
      <c r="W723" s="20" t="s">
        <v>1175</v>
      </c>
      <c r="X723" s="37">
        <v>0</v>
      </c>
      <c r="Y723" s="37">
        <v>0</v>
      </c>
      <c r="Z723" s="79">
        <v>0</v>
      </c>
      <c r="AA723" s="19">
        <f t="shared" si="198"/>
        <v>9708371.1999999993</v>
      </c>
    </row>
    <row r="724" spans="1:27" s="13" customFormat="1" ht="93.75" customHeight="1" x14ac:dyDescent="0.25">
      <c r="A724" s="17" t="str">
        <f>IF(OR(D724=0,D724=""),"",COUNTA($D$535:D724))</f>
        <v/>
      </c>
      <c r="B724" s="17"/>
      <c r="C724" s="89"/>
      <c r="D724" s="21"/>
      <c r="E724" s="26">
        <f>SUM(E719:E723)</f>
        <v>24545.300000000003</v>
      </c>
      <c r="F724" s="26">
        <f>SUM(F719:F723)</f>
        <v>17541.7</v>
      </c>
      <c r="G724" s="26">
        <f>SUM(G719:G723)</f>
        <v>29.3</v>
      </c>
      <c r="H724" s="17"/>
      <c r="I724" s="15"/>
      <c r="J724" s="26"/>
      <c r="K724" s="26"/>
      <c r="L724" s="26"/>
      <c r="M724" s="29"/>
      <c r="N724" s="26"/>
      <c r="O724" s="26"/>
      <c r="P724" s="26"/>
      <c r="Q724" s="26"/>
      <c r="R724" s="26"/>
      <c r="S724" s="26"/>
      <c r="T724" s="26"/>
      <c r="U724" s="17"/>
      <c r="V724" s="28">
        <f>SUM(V719:V723)</f>
        <v>56650552.400000006</v>
      </c>
      <c r="W724" s="28"/>
      <c r="X724" s="28">
        <f>SUM(X719:X723)</f>
        <v>0</v>
      </c>
      <c r="Y724" s="28">
        <f>SUM(Y719:Y723)</f>
        <v>0</v>
      </c>
      <c r="Z724" s="81">
        <f>SUM(Z719:Z723)</f>
        <v>0</v>
      </c>
      <c r="AA724" s="28">
        <f t="shared" ref="AA724" si="199">V724-(X724+Y724+Z724)</f>
        <v>56650552.400000006</v>
      </c>
    </row>
    <row r="725" spans="1:27" s="12" customFormat="1" ht="93.75" customHeight="1" x14ac:dyDescent="0.25">
      <c r="A725" s="17" t="str">
        <f>IF(OR(D725=0,D725=""),"",COUNTA($D$535:D725))</f>
        <v/>
      </c>
      <c r="B725" s="17"/>
      <c r="C725" s="89" t="s">
        <v>1189</v>
      </c>
      <c r="D725" s="43"/>
      <c r="E725" s="16"/>
      <c r="F725" s="16"/>
      <c r="G725" s="16"/>
      <c r="H725" s="17"/>
      <c r="I725" s="15"/>
      <c r="J725" s="16"/>
      <c r="K725" s="16"/>
      <c r="L725" s="16"/>
      <c r="M725" s="18"/>
      <c r="N725" s="16"/>
      <c r="O725" s="16"/>
      <c r="P725" s="16"/>
      <c r="Q725" s="16"/>
      <c r="R725" s="16"/>
      <c r="S725" s="16"/>
      <c r="T725" s="16"/>
      <c r="U725" s="15"/>
      <c r="V725" s="19"/>
      <c r="W725" s="20"/>
      <c r="X725" s="37"/>
      <c r="Y725" s="37"/>
      <c r="Z725" s="20"/>
      <c r="AA725" s="19"/>
    </row>
    <row r="726" spans="1:27" s="12" customFormat="1" ht="93.75" customHeight="1" x14ac:dyDescent="0.25">
      <c r="A726" s="17">
        <f>IF(OR(D726=0,D726=""),"",COUNTA($D$535:D726))</f>
        <v>171</v>
      </c>
      <c r="B726" s="17" t="s">
        <v>1068</v>
      </c>
      <c r="C726" s="90" t="s">
        <v>590</v>
      </c>
      <c r="D726" s="43">
        <v>1986</v>
      </c>
      <c r="E726" s="16">
        <v>1550</v>
      </c>
      <c r="F726" s="16">
        <v>1283</v>
      </c>
      <c r="G726" s="16">
        <v>0</v>
      </c>
      <c r="H726" s="17" t="s">
        <v>250</v>
      </c>
      <c r="I726" s="15"/>
      <c r="J726" s="16"/>
      <c r="K726" s="16"/>
      <c r="L726" s="16"/>
      <c r="M726" s="16"/>
      <c r="N726" s="16"/>
      <c r="O726" s="16"/>
      <c r="P726" s="16">
        <f>E726*3961</f>
        <v>6139550</v>
      </c>
      <c r="Q726" s="16"/>
      <c r="R726" s="16"/>
      <c r="S726" s="16"/>
      <c r="T726" s="16"/>
      <c r="U726" s="16"/>
      <c r="V726" s="19">
        <f t="shared" ref="V726:V727" si="200">J726+K726+L726+M726+N726+O726+P726+Q726+R726+S726+T726+U726</f>
        <v>6139550</v>
      </c>
      <c r="W726" s="20" t="s">
        <v>1175</v>
      </c>
      <c r="X726" s="37">
        <v>0</v>
      </c>
      <c r="Y726" s="37">
        <v>0</v>
      </c>
      <c r="Z726" s="79">
        <v>0</v>
      </c>
      <c r="AA726" s="19">
        <f t="shared" ref="AA726:AA727" si="201">V726-(X726+Y726+Z726)</f>
        <v>6139550</v>
      </c>
    </row>
    <row r="727" spans="1:27" s="12" customFormat="1" ht="93.75" customHeight="1" x14ac:dyDescent="0.25">
      <c r="A727" s="17">
        <f>IF(OR(D727=0,D727=""),"",COUNTA($D$535:D727))</f>
        <v>172</v>
      </c>
      <c r="B727" s="17" t="s">
        <v>1071</v>
      </c>
      <c r="C727" s="90" t="s">
        <v>273</v>
      </c>
      <c r="D727" s="43">
        <v>1980</v>
      </c>
      <c r="E727" s="16">
        <v>1714</v>
      </c>
      <c r="F727" s="16">
        <v>966</v>
      </c>
      <c r="G727" s="16">
        <v>748</v>
      </c>
      <c r="H727" s="17" t="s">
        <v>254</v>
      </c>
      <c r="I727" s="15"/>
      <c r="J727" s="16"/>
      <c r="K727" s="16"/>
      <c r="L727" s="16"/>
      <c r="M727" s="16"/>
      <c r="N727" s="16"/>
      <c r="O727" s="16"/>
      <c r="P727" s="16">
        <f>E727*3961</f>
        <v>6789154</v>
      </c>
      <c r="Q727" s="16"/>
      <c r="R727" s="16"/>
      <c r="S727" s="16"/>
      <c r="T727" s="16"/>
      <c r="U727" s="16"/>
      <c r="V727" s="19">
        <f t="shared" si="200"/>
        <v>6789154</v>
      </c>
      <c r="W727" s="20" t="s">
        <v>1175</v>
      </c>
      <c r="X727" s="37">
        <v>0</v>
      </c>
      <c r="Y727" s="37">
        <v>0</v>
      </c>
      <c r="Z727" s="79">
        <v>0</v>
      </c>
      <c r="AA727" s="19">
        <f t="shared" si="201"/>
        <v>6789154</v>
      </c>
    </row>
    <row r="728" spans="1:27" s="13" customFormat="1" ht="93.75" customHeight="1" x14ac:dyDescent="0.25">
      <c r="A728" s="17" t="str">
        <f>IF(OR(D728=0,D728=""),"",COUNTA($D$535:D728))</f>
        <v/>
      </c>
      <c r="B728" s="17"/>
      <c r="C728" s="89"/>
      <c r="D728" s="21"/>
      <c r="E728" s="26">
        <f>SUM(E726:E727)</f>
        <v>3264</v>
      </c>
      <c r="F728" s="26">
        <f>SUM(F726:F727)</f>
        <v>2249</v>
      </c>
      <c r="G728" s="26">
        <f>SUM(G726:G727)</f>
        <v>748</v>
      </c>
      <c r="H728" s="17"/>
      <c r="I728" s="15"/>
      <c r="J728" s="26"/>
      <c r="K728" s="26"/>
      <c r="L728" s="26"/>
      <c r="M728" s="29"/>
      <c r="N728" s="26"/>
      <c r="O728" s="26"/>
      <c r="P728" s="26"/>
      <c r="Q728" s="26"/>
      <c r="R728" s="26"/>
      <c r="S728" s="26"/>
      <c r="T728" s="26"/>
      <c r="U728" s="17"/>
      <c r="V728" s="28">
        <f>SUM(V726:V727)</f>
        <v>12928704</v>
      </c>
      <c r="W728" s="28"/>
      <c r="X728" s="28">
        <f>SUM(X726:X727)</f>
        <v>0</v>
      </c>
      <c r="Y728" s="28">
        <f>SUM(Y726:Y727)</f>
        <v>0</v>
      </c>
      <c r="Z728" s="81">
        <f>SUM(Z726:Z727)</f>
        <v>0</v>
      </c>
      <c r="AA728" s="28">
        <f>V728-(X728+Y728+Z728)</f>
        <v>12928704</v>
      </c>
    </row>
    <row r="729" spans="1:27" s="13" customFormat="1" ht="93.75" customHeight="1" x14ac:dyDescent="0.25">
      <c r="A729" s="17" t="str">
        <f>IF(OR(D729=0,D729=""),"",COUNTA($D$535:D729))</f>
        <v/>
      </c>
      <c r="B729" s="17"/>
      <c r="C729" s="89" t="s">
        <v>1221</v>
      </c>
      <c r="D729" s="21"/>
      <c r="E729" s="26"/>
      <c r="F729" s="26"/>
      <c r="G729" s="26"/>
      <c r="H729" s="17"/>
      <c r="I729" s="15"/>
      <c r="J729" s="26"/>
      <c r="K729" s="26"/>
      <c r="L729" s="26"/>
      <c r="M729" s="29"/>
      <c r="N729" s="26"/>
      <c r="O729" s="26"/>
      <c r="P729" s="26"/>
      <c r="Q729" s="26"/>
      <c r="R729" s="26"/>
      <c r="S729" s="26"/>
      <c r="T729" s="26"/>
      <c r="U729" s="17"/>
      <c r="V729" s="28"/>
      <c r="W729" s="28"/>
      <c r="X729" s="28"/>
      <c r="Y729" s="28"/>
      <c r="Z729" s="81"/>
      <c r="AA729" s="28"/>
    </row>
    <row r="730" spans="1:27" s="13" customFormat="1" ht="93.75" customHeight="1" x14ac:dyDescent="0.25">
      <c r="A730" s="17">
        <f>IF(OR(D730=0,D730=""),"",COUNTA($D$535:D730))</f>
        <v>173</v>
      </c>
      <c r="B730" s="17" t="s">
        <v>1073</v>
      </c>
      <c r="C730" s="90" t="s">
        <v>496</v>
      </c>
      <c r="D730" s="43">
        <v>1961</v>
      </c>
      <c r="E730" s="16">
        <v>987.4</v>
      </c>
      <c r="F730" s="16">
        <v>647</v>
      </c>
      <c r="G730" s="16">
        <v>259.3</v>
      </c>
      <c r="H730" s="17" t="s">
        <v>250</v>
      </c>
      <c r="I730" s="15"/>
      <c r="J730" s="16"/>
      <c r="K730" s="16"/>
      <c r="L730" s="16"/>
      <c r="M730" s="18"/>
      <c r="N730" s="16"/>
      <c r="O730" s="16"/>
      <c r="P730" s="16"/>
      <c r="Q730" s="16"/>
      <c r="R730" s="16">
        <f>E730*3011</f>
        <v>2973061.4</v>
      </c>
      <c r="S730" s="16"/>
      <c r="T730" s="16"/>
      <c r="U730" s="15"/>
      <c r="V730" s="19">
        <f t="shared" ref="V730:V739" si="202">J730+K730+L730+M730+N730+O730+P730+Q730+R730+S730+T730+U730</f>
        <v>2973061.4</v>
      </c>
      <c r="W730" s="20" t="s">
        <v>1175</v>
      </c>
      <c r="X730" s="37">
        <v>0</v>
      </c>
      <c r="Y730" s="37">
        <v>0</v>
      </c>
      <c r="Z730" s="79">
        <v>0</v>
      </c>
      <c r="AA730" s="19">
        <f t="shared" ref="AA730:AA739" si="203">V730-(X730+Y730+Z730)</f>
        <v>2973061.4</v>
      </c>
    </row>
    <row r="731" spans="1:27" s="13" customFormat="1" ht="93.75" customHeight="1" x14ac:dyDescent="0.25">
      <c r="A731" s="17">
        <f>IF(OR(D731=0,D731=""),"",COUNTA($D$535:D731))</f>
        <v>174</v>
      </c>
      <c r="B731" s="17" t="s">
        <v>1075</v>
      </c>
      <c r="C731" s="90" t="s">
        <v>571</v>
      </c>
      <c r="D731" s="43">
        <v>1938</v>
      </c>
      <c r="E731" s="16">
        <v>1845</v>
      </c>
      <c r="F731" s="16">
        <v>1200</v>
      </c>
      <c r="G731" s="16">
        <v>645</v>
      </c>
      <c r="H731" s="17" t="s">
        <v>250</v>
      </c>
      <c r="I731" s="15"/>
      <c r="J731" s="16"/>
      <c r="K731" s="16"/>
      <c r="L731" s="16"/>
      <c r="M731" s="18"/>
      <c r="N731" s="16"/>
      <c r="O731" s="16"/>
      <c r="P731" s="16"/>
      <c r="Q731" s="16"/>
      <c r="R731" s="16">
        <f>E731*3011</f>
        <v>5555295</v>
      </c>
      <c r="S731" s="16"/>
      <c r="T731" s="16"/>
      <c r="U731" s="15"/>
      <c r="V731" s="19">
        <f t="shared" ref="V731" si="204">J731+K731+L731+M731+N731+O731+P731+Q731+R731+S731+T731+U731</f>
        <v>5555295</v>
      </c>
      <c r="W731" s="20" t="s">
        <v>1175</v>
      </c>
      <c r="X731" s="37">
        <v>0</v>
      </c>
      <c r="Y731" s="37">
        <v>0</v>
      </c>
      <c r="Z731" s="79">
        <v>0</v>
      </c>
      <c r="AA731" s="19">
        <f t="shared" ref="AA731" si="205">V731-(X731+Y731+Z731)</f>
        <v>5555295</v>
      </c>
    </row>
    <row r="732" spans="1:27" s="13" customFormat="1" ht="93.75" customHeight="1" x14ac:dyDescent="0.25">
      <c r="A732" s="17">
        <f>IF(OR(D732=0,D732=""),"",COUNTA($D$535:D732))</f>
        <v>175</v>
      </c>
      <c r="B732" s="17" t="s">
        <v>1083</v>
      </c>
      <c r="C732" s="90" t="s">
        <v>561</v>
      </c>
      <c r="D732" s="43">
        <v>1988</v>
      </c>
      <c r="E732" s="16">
        <v>605</v>
      </c>
      <c r="F732" s="16">
        <v>534.70000000000005</v>
      </c>
      <c r="G732" s="16">
        <v>70.3</v>
      </c>
      <c r="H732" s="17" t="s">
        <v>250</v>
      </c>
      <c r="I732" s="15"/>
      <c r="J732" s="16"/>
      <c r="K732" s="16"/>
      <c r="L732" s="16"/>
      <c r="M732" s="18"/>
      <c r="N732" s="16"/>
      <c r="O732" s="16"/>
      <c r="P732" s="16">
        <f>E732*3961</f>
        <v>2396405</v>
      </c>
      <c r="Q732" s="16"/>
      <c r="R732" s="16"/>
      <c r="S732" s="16"/>
      <c r="T732" s="16"/>
      <c r="U732" s="15"/>
      <c r="V732" s="19">
        <f t="shared" si="202"/>
        <v>2396405</v>
      </c>
      <c r="W732" s="20" t="s">
        <v>1175</v>
      </c>
      <c r="X732" s="37">
        <v>0</v>
      </c>
      <c r="Y732" s="37">
        <v>0</v>
      </c>
      <c r="Z732" s="79">
        <v>0</v>
      </c>
      <c r="AA732" s="19">
        <f t="shared" si="203"/>
        <v>2396405</v>
      </c>
    </row>
    <row r="733" spans="1:27" s="13" customFormat="1" ht="93.75" customHeight="1" x14ac:dyDescent="0.25">
      <c r="A733" s="17">
        <f>IF(OR(D733=0,D733=""),"",COUNTA($D$535:D733))</f>
        <v>176</v>
      </c>
      <c r="B733" s="17" t="s">
        <v>1072</v>
      </c>
      <c r="C733" s="90" t="s">
        <v>562</v>
      </c>
      <c r="D733" s="43">
        <v>1993</v>
      </c>
      <c r="E733" s="16">
        <v>2216.1</v>
      </c>
      <c r="F733" s="16">
        <v>1526.4</v>
      </c>
      <c r="G733" s="16">
        <v>0</v>
      </c>
      <c r="H733" s="17" t="s">
        <v>254</v>
      </c>
      <c r="I733" s="15"/>
      <c r="J733" s="16"/>
      <c r="K733" s="16"/>
      <c r="L733" s="16"/>
      <c r="M733" s="16"/>
      <c r="N733" s="16"/>
      <c r="O733" s="16"/>
      <c r="P733" s="16">
        <f>E733*3961</f>
        <v>8777972.0999999996</v>
      </c>
      <c r="Q733" s="16"/>
      <c r="R733" s="16"/>
      <c r="S733" s="16"/>
      <c r="T733" s="16"/>
      <c r="U733" s="15"/>
      <c r="V733" s="19">
        <f t="shared" si="202"/>
        <v>8777972.0999999996</v>
      </c>
      <c r="W733" s="20" t="s">
        <v>1175</v>
      </c>
      <c r="X733" s="37">
        <v>0</v>
      </c>
      <c r="Y733" s="37">
        <v>0</v>
      </c>
      <c r="Z733" s="79">
        <v>0</v>
      </c>
      <c r="AA733" s="19">
        <f t="shared" si="203"/>
        <v>8777972.0999999996</v>
      </c>
    </row>
    <row r="734" spans="1:27" s="13" customFormat="1" ht="93.75" customHeight="1" x14ac:dyDescent="0.25">
      <c r="A734" s="17">
        <f>IF(OR(D734=0,D734=""),"",COUNTA($D$535:D734))</f>
        <v>177</v>
      </c>
      <c r="B734" s="17" t="s">
        <v>1079</v>
      </c>
      <c r="C734" s="90" t="s">
        <v>563</v>
      </c>
      <c r="D734" s="43">
        <v>1981</v>
      </c>
      <c r="E734" s="16">
        <v>2303.6999999999998</v>
      </c>
      <c r="F734" s="16">
        <v>1578.5</v>
      </c>
      <c r="G734" s="16">
        <v>725.2</v>
      </c>
      <c r="H734" s="17" t="s">
        <v>254</v>
      </c>
      <c r="I734" s="15"/>
      <c r="J734" s="16"/>
      <c r="K734" s="16"/>
      <c r="L734" s="16"/>
      <c r="M734" s="18"/>
      <c r="N734" s="16"/>
      <c r="O734" s="16"/>
      <c r="P734" s="16">
        <f>E734*3961</f>
        <v>9124955.6999999993</v>
      </c>
      <c r="Q734" s="16"/>
      <c r="R734" s="16"/>
      <c r="S734" s="16"/>
      <c r="T734" s="16"/>
      <c r="U734" s="15"/>
      <c r="V734" s="19">
        <f t="shared" si="202"/>
        <v>9124955.6999999993</v>
      </c>
      <c r="W734" s="20" t="s">
        <v>1175</v>
      </c>
      <c r="X734" s="37">
        <v>0</v>
      </c>
      <c r="Y734" s="37">
        <v>0</v>
      </c>
      <c r="Z734" s="79">
        <v>0</v>
      </c>
      <c r="AA734" s="19">
        <f t="shared" si="203"/>
        <v>9124955.6999999993</v>
      </c>
    </row>
    <row r="735" spans="1:27" s="13" customFormat="1" ht="93.75" customHeight="1" x14ac:dyDescent="0.25">
      <c r="A735" s="17">
        <f>IF(OR(D735=0,D735=""),"",COUNTA($D$535:D735))</f>
        <v>178</v>
      </c>
      <c r="B735" s="17" t="s">
        <v>1076</v>
      </c>
      <c r="C735" s="90" t="s">
        <v>565</v>
      </c>
      <c r="D735" s="43">
        <v>1986</v>
      </c>
      <c r="E735" s="16">
        <v>7292.8</v>
      </c>
      <c r="F735" s="16">
        <v>5475.4</v>
      </c>
      <c r="G735" s="16">
        <v>1817.4</v>
      </c>
      <c r="H735" s="17" t="s">
        <v>257</v>
      </c>
      <c r="I735" s="15"/>
      <c r="J735" s="16"/>
      <c r="K735" s="16"/>
      <c r="L735" s="16"/>
      <c r="M735" s="18"/>
      <c r="N735" s="16"/>
      <c r="O735" s="16"/>
      <c r="P735" s="16">
        <f>2308*E735</f>
        <v>16831782.400000002</v>
      </c>
      <c r="Q735" s="16"/>
      <c r="R735" s="16"/>
      <c r="S735" s="16"/>
      <c r="T735" s="16"/>
      <c r="U735" s="15"/>
      <c r="V735" s="19">
        <f t="shared" ref="V735:V738" si="206">J735+K735+L735+M735+N735+O735+P735+Q735+R735+S735+T735+U735</f>
        <v>16831782.400000002</v>
      </c>
      <c r="W735" s="20" t="s">
        <v>1175</v>
      </c>
      <c r="X735" s="37">
        <v>0</v>
      </c>
      <c r="Y735" s="37">
        <v>0</v>
      </c>
      <c r="Z735" s="79">
        <v>0</v>
      </c>
      <c r="AA735" s="19">
        <f t="shared" ref="AA735:AA738" si="207">V735-(X735+Y735+Z735)</f>
        <v>16831782.400000002</v>
      </c>
    </row>
    <row r="736" spans="1:27" s="13" customFormat="1" ht="93.75" customHeight="1" x14ac:dyDescent="0.25">
      <c r="A736" s="17">
        <f>IF(OR(D736=0,D736=""),"",COUNTA($D$535:D736))</f>
        <v>179</v>
      </c>
      <c r="B736" s="17" t="s">
        <v>1078</v>
      </c>
      <c r="C736" s="90" t="s">
        <v>566</v>
      </c>
      <c r="D736" s="43">
        <v>1984</v>
      </c>
      <c r="E736" s="16">
        <v>1562</v>
      </c>
      <c r="F736" s="16">
        <v>874.4</v>
      </c>
      <c r="G736" s="16">
        <v>577.9</v>
      </c>
      <c r="H736" s="17" t="s">
        <v>250</v>
      </c>
      <c r="I736" s="15"/>
      <c r="J736" s="16"/>
      <c r="K736" s="16"/>
      <c r="L736" s="16"/>
      <c r="M736" s="18"/>
      <c r="N736" s="16"/>
      <c r="O736" s="16"/>
      <c r="P736" s="16">
        <f>E736*3961</f>
        <v>6187082</v>
      </c>
      <c r="Q736" s="16"/>
      <c r="R736" s="16"/>
      <c r="S736" s="16"/>
      <c r="T736" s="16"/>
      <c r="U736" s="15"/>
      <c r="V736" s="19">
        <f t="shared" si="206"/>
        <v>6187082</v>
      </c>
      <c r="W736" s="20" t="s">
        <v>1175</v>
      </c>
      <c r="X736" s="37">
        <v>0</v>
      </c>
      <c r="Y736" s="37">
        <v>0</v>
      </c>
      <c r="Z736" s="79">
        <v>0</v>
      </c>
      <c r="AA736" s="19">
        <f t="shared" si="207"/>
        <v>6187082</v>
      </c>
    </row>
    <row r="737" spans="1:27" s="13" customFormat="1" ht="93.75" customHeight="1" x14ac:dyDescent="0.25">
      <c r="A737" s="17">
        <f>IF(OR(D737=0,D737=""),"",COUNTA($D$535:D737))</f>
        <v>180</v>
      </c>
      <c r="B737" s="17" t="s">
        <v>1080</v>
      </c>
      <c r="C737" s="90" t="s">
        <v>567</v>
      </c>
      <c r="D737" s="43">
        <v>1979</v>
      </c>
      <c r="E737" s="16">
        <v>4440.8</v>
      </c>
      <c r="F737" s="16">
        <v>2620.9</v>
      </c>
      <c r="G737" s="16">
        <v>1734.6</v>
      </c>
      <c r="H737" s="17" t="s">
        <v>257</v>
      </c>
      <c r="I737" s="15"/>
      <c r="J737" s="16"/>
      <c r="K737" s="16"/>
      <c r="L737" s="16"/>
      <c r="M737" s="18"/>
      <c r="N737" s="16"/>
      <c r="O737" s="16"/>
      <c r="P737" s="16">
        <f>2308*E737</f>
        <v>10249366.4</v>
      </c>
      <c r="Q737" s="16"/>
      <c r="R737" s="16"/>
      <c r="S737" s="16"/>
      <c r="T737" s="16"/>
      <c r="U737" s="15"/>
      <c r="V737" s="19">
        <f t="shared" si="206"/>
        <v>10249366.4</v>
      </c>
      <c r="W737" s="20" t="s">
        <v>1175</v>
      </c>
      <c r="X737" s="37">
        <v>0</v>
      </c>
      <c r="Y737" s="37">
        <v>0</v>
      </c>
      <c r="Z737" s="79">
        <v>0</v>
      </c>
      <c r="AA737" s="19">
        <f t="shared" si="207"/>
        <v>10249366.4</v>
      </c>
    </row>
    <row r="738" spans="1:27" s="13" customFormat="1" ht="93.75" customHeight="1" x14ac:dyDescent="0.25">
      <c r="A738" s="17">
        <f>IF(OR(D738=0,D738=""),"",COUNTA($D$535:D738))</f>
        <v>181</v>
      </c>
      <c r="B738" s="17" t="s">
        <v>1081</v>
      </c>
      <c r="C738" s="90" t="s">
        <v>568</v>
      </c>
      <c r="D738" s="43">
        <v>1986</v>
      </c>
      <c r="E738" s="16">
        <v>5272.3</v>
      </c>
      <c r="F738" s="16">
        <v>3990.7</v>
      </c>
      <c r="G738" s="16">
        <v>1281.5999999999999</v>
      </c>
      <c r="H738" s="17" t="s">
        <v>257</v>
      </c>
      <c r="I738" s="15"/>
      <c r="J738" s="16"/>
      <c r="K738" s="16"/>
      <c r="L738" s="16"/>
      <c r="M738" s="18"/>
      <c r="N738" s="16"/>
      <c r="O738" s="16"/>
      <c r="P738" s="16">
        <f>2308*E738</f>
        <v>12168468.4</v>
      </c>
      <c r="Q738" s="16"/>
      <c r="R738" s="16"/>
      <c r="S738" s="16"/>
      <c r="T738" s="16"/>
      <c r="U738" s="15"/>
      <c r="V738" s="19">
        <f t="shared" si="206"/>
        <v>12168468.4</v>
      </c>
      <c r="W738" s="20" t="s">
        <v>1175</v>
      </c>
      <c r="X738" s="37">
        <v>0</v>
      </c>
      <c r="Y738" s="37">
        <v>0</v>
      </c>
      <c r="Z738" s="79">
        <v>0</v>
      </c>
      <c r="AA738" s="19">
        <f t="shared" si="207"/>
        <v>12168468.4</v>
      </c>
    </row>
    <row r="739" spans="1:27" s="13" customFormat="1" ht="93.75" customHeight="1" x14ac:dyDescent="0.25">
      <c r="A739" s="17">
        <f>IF(OR(D739=0,D739=""),"",COUNTA($D$535:D739))</f>
        <v>182</v>
      </c>
      <c r="B739" s="17" t="s">
        <v>1077</v>
      </c>
      <c r="C739" s="90" t="s">
        <v>497</v>
      </c>
      <c r="D739" s="43">
        <v>1979</v>
      </c>
      <c r="E739" s="16">
        <v>475.1</v>
      </c>
      <c r="F739" s="16">
        <v>363</v>
      </c>
      <c r="G739" s="16">
        <v>0</v>
      </c>
      <c r="H739" s="17" t="s">
        <v>254</v>
      </c>
      <c r="I739" s="15"/>
      <c r="J739" s="16"/>
      <c r="K739" s="16"/>
      <c r="L739" s="16"/>
      <c r="M739" s="18"/>
      <c r="N739" s="16"/>
      <c r="O739" s="16"/>
      <c r="P739" s="16"/>
      <c r="Q739" s="16"/>
      <c r="R739" s="16">
        <f>E739*3011</f>
        <v>1430526.1</v>
      </c>
      <c r="S739" s="16"/>
      <c r="T739" s="16"/>
      <c r="U739" s="15"/>
      <c r="V739" s="19">
        <f t="shared" si="202"/>
        <v>1430526.1</v>
      </c>
      <c r="W739" s="20" t="s">
        <v>1175</v>
      </c>
      <c r="X739" s="37">
        <v>0</v>
      </c>
      <c r="Y739" s="37">
        <v>0</v>
      </c>
      <c r="Z739" s="79">
        <v>0</v>
      </c>
      <c r="AA739" s="19">
        <f t="shared" si="203"/>
        <v>1430526.1</v>
      </c>
    </row>
    <row r="740" spans="1:27" s="13" customFormat="1" ht="93.75" customHeight="1" x14ac:dyDescent="0.25">
      <c r="A740" s="17" t="str">
        <f>IF(OR(D740=0,D740=""),"",COUNTA($D$535:D740))</f>
        <v/>
      </c>
      <c r="B740" s="17"/>
      <c r="C740" s="89"/>
      <c r="D740" s="21"/>
      <c r="E740" s="26">
        <f>SUM(E730:E739)</f>
        <v>27000.199999999997</v>
      </c>
      <c r="F740" s="26">
        <f>SUM(F730:F739)</f>
        <v>18811</v>
      </c>
      <c r="G740" s="26">
        <f>SUM(G730:G739)</f>
        <v>7111.2999999999993</v>
      </c>
      <c r="H740" s="17"/>
      <c r="I740" s="15"/>
      <c r="J740" s="26"/>
      <c r="K740" s="26"/>
      <c r="L740" s="26"/>
      <c r="M740" s="29"/>
      <c r="N740" s="26"/>
      <c r="O740" s="26"/>
      <c r="P740" s="26"/>
      <c r="Q740" s="26"/>
      <c r="R740" s="26"/>
      <c r="S740" s="26"/>
      <c r="T740" s="26"/>
      <c r="U740" s="17"/>
      <c r="V740" s="26">
        <f>SUM(V730:V739)</f>
        <v>75694914.5</v>
      </c>
      <c r="W740" s="28"/>
      <c r="X740" s="28"/>
      <c r="Y740" s="28"/>
      <c r="Z740" s="81"/>
      <c r="AA740" s="26">
        <f>SUM(AA730:AA739)</f>
        <v>75694914.5</v>
      </c>
    </row>
    <row r="741" spans="1:27" s="12" customFormat="1" ht="93.75" customHeight="1" x14ac:dyDescent="0.25">
      <c r="A741" s="17" t="str">
        <f>IF(OR(D741=0,D741=""),"",COUNTA($D$535:D741))</f>
        <v/>
      </c>
      <c r="B741" s="17"/>
      <c r="C741" s="89" t="s">
        <v>1205</v>
      </c>
      <c r="D741" s="43"/>
      <c r="E741" s="16"/>
      <c r="F741" s="16"/>
      <c r="G741" s="16"/>
      <c r="H741" s="17"/>
      <c r="I741" s="15"/>
      <c r="J741" s="16"/>
      <c r="K741" s="16"/>
      <c r="L741" s="16"/>
      <c r="M741" s="18"/>
      <c r="N741" s="16"/>
      <c r="O741" s="16"/>
      <c r="P741" s="16"/>
      <c r="Q741" s="16"/>
      <c r="R741" s="16"/>
      <c r="S741" s="16"/>
      <c r="T741" s="16"/>
      <c r="U741" s="15"/>
      <c r="V741" s="19"/>
      <c r="W741" s="20"/>
      <c r="X741" s="37"/>
      <c r="Y741" s="37"/>
      <c r="Z741" s="20"/>
      <c r="AA741" s="19"/>
    </row>
    <row r="742" spans="1:27" s="12" customFormat="1" ht="93.75" customHeight="1" x14ac:dyDescent="0.25">
      <c r="A742" s="17">
        <f>IF(OR(D742=0,D742=""),"",COUNTA($D$535:D742))</f>
        <v>183</v>
      </c>
      <c r="B742" s="17" t="s">
        <v>1085</v>
      </c>
      <c r="C742" s="90" t="s">
        <v>430</v>
      </c>
      <c r="D742" s="43">
        <v>1931</v>
      </c>
      <c r="E742" s="16">
        <v>1256</v>
      </c>
      <c r="F742" s="16">
        <v>486.5</v>
      </c>
      <c r="G742" s="16">
        <v>0</v>
      </c>
      <c r="H742" s="17" t="s">
        <v>250</v>
      </c>
      <c r="I742" s="15"/>
      <c r="J742" s="16"/>
      <c r="K742" s="16"/>
      <c r="L742" s="16"/>
      <c r="M742" s="16"/>
      <c r="N742" s="16"/>
      <c r="O742" s="16"/>
      <c r="P742" s="16">
        <f>E742*3961</f>
        <v>4975016</v>
      </c>
      <c r="Q742" s="16"/>
      <c r="R742" s="16">
        <f>E742*3011</f>
        <v>3781816</v>
      </c>
      <c r="S742" s="16"/>
      <c r="T742" s="16"/>
      <c r="U742" s="16"/>
      <c r="V742" s="19">
        <f t="shared" ref="V742:V743" si="208">J742+K742+L742+M742+N742+O742+P742+Q742+R742+S742+T742+U742</f>
        <v>8756832</v>
      </c>
      <c r="W742" s="20" t="s">
        <v>1175</v>
      </c>
      <c r="X742" s="37">
        <v>0</v>
      </c>
      <c r="Y742" s="37">
        <v>0</v>
      </c>
      <c r="Z742" s="79">
        <v>0</v>
      </c>
      <c r="AA742" s="19">
        <f t="shared" ref="AA742:AA743" si="209">V742-(X742+Y742+Z742)</f>
        <v>8756832</v>
      </c>
    </row>
    <row r="743" spans="1:27" s="12" customFormat="1" ht="93.75" customHeight="1" x14ac:dyDescent="0.25">
      <c r="A743" s="17">
        <f>IF(OR(D743=0,D743=""),"",COUNTA($D$535:D743))</f>
        <v>184</v>
      </c>
      <c r="B743" s="17" t="s">
        <v>1084</v>
      </c>
      <c r="C743" s="90" t="s">
        <v>223</v>
      </c>
      <c r="D743" s="43">
        <v>1966</v>
      </c>
      <c r="E743" s="16">
        <v>772.6</v>
      </c>
      <c r="F743" s="16">
        <v>438.2</v>
      </c>
      <c r="G743" s="16">
        <v>436.9</v>
      </c>
      <c r="H743" s="17" t="s">
        <v>250</v>
      </c>
      <c r="I743" s="15"/>
      <c r="J743" s="16"/>
      <c r="K743" s="16"/>
      <c r="L743" s="16"/>
      <c r="M743" s="16"/>
      <c r="N743" s="16"/>
      <c r="O743" s="16"/>
      <c r="P743" s="16">
        <f>E743*3961</f>
        <v>3060268.6</v>
      </c>
      <c r="Q743" s="16"/>
      <c r="R743" s="16"/>
      <c r="S743" s="16"/>
      <c r="T743" s="16"/>
      <c r="U743" s="16"/>
      <c r="V743" s="19">
        <f t="shared" si="208"/>
        <v>3060268.6</v>
      </c>
      <c r="W743" s="20" t="s">
        <v>1175</v>
      </c>
      <c r="X743" s="37">
        <v>0</v>
      </c>
      <c r="Y743" s="37">
        <v>0</v>
      </c>
      <c r="Z743" s="79">
        <v>0</v>
      </c>
      <c r="AA743" s="19">
        <f t="shared" si="209"/>
        <v>3060268.6</v>
      </c>
    </row>
    <row r="744" spans="1:27" s="13" customFormat="1" ht="93.75" customHeight="1" x14ac:dyDescent="0.25">
      <c r="A744" s="17" t="str">
        <f>IF(OR(D744=0,D744=""),"",COUNTA($D$535:D744))</f>
        <v/>
      </c>
      <c r="B744" s="17"/>
      <c r="C744" s="89"/>
      <c r="D744" s="21"/>
      <c r="E744" s="26">
        <f>SUM(E742:E743)</f>
        <v>2028.6</v>
      </c>
      <c r="F744" s="26">
        <f>SUM(F742:F743)</f>
        <v>924.7</v>
      </c>
      <c r="G744" s="26">
        <f>SUM(G742:G743)</f>
        <v>436.9</v>
      </c>
      <c r="H744" s="17"/>
      <c r="I744" s="15"/>
      <c r="J744" s="26"/>
      <c r="K744" s="26"/>
      <c r="L744" s="26"/>
      <c r="M744" s="29"/>
      <c r="N744" s="26"/>
      <c r="O744" s="26"/>
      <c r="P744" s="26"/>
      <c r="Q744" s="26"/>
      <c r="R744" s="26"/>
      <c r="S744" s="26"/>
      <c r="T744" s="26"/>
      <c r="U744" s="17"/>
      <c r="V744" s="28">
        <f>SUM(V742:V743)</f>
        <v>11817100.6</v>
      </c>
      <c r="W744" s="28"/>
      <c r="X744" s="28">
        <f>SUM(X742:X743)</f>
        <v>0</v>
      </c>
      <c r="Y744" s="28">
        <f>SUM(Y742:Y743)</f>
        <v>0</v>
      </c>
      <c r="Z744" s="81">
        <f>SUM(Z742:Z743)</f>
        <v>0</v>
      </c>
      <c r="AA744" s="28">
        <f>V744-(X744+Y744+Z744)</f>
        <v>11817100.6</v>
      </c>
    </row>
    <row r="745" spans="1:27" s="12" customFormat="1" ht="93.75" customHeight="1" x14ac:dyDescent="0.25">
      <c r="A745" s="17" t="str">
        <f>IF(OR(D745=0,D745=""),"",COUNTA($D$535:D745))</f>
        <v/>
      </c>
      <c r="B745" s="17"/>
      <c r="C745" s="89" t="s">
        <v>1206</v>
      </c>
      <c r="D745" s="43"/>
      <c r="E745" s="16"/>
      <c r="F745" s="16"/>
      <c r="G745" s="16"/>
      <c r="H745" s="17"/>
      <c r="I745" s="15"/>
      <c r="J745" s="16"/>
      <c r="K745" s="16"/>
      <c r="L745" s="16"/>
      <c r="M745" s="18"/>
      <c r="N745" s="16"/>
      <c r="O745" s="16"/>
      <c r="P745" s="16"/>
      <c r="Q745" s="16"/>
      <c r="R745" s="16"/>
      <c r="S745" s="16"/>
      <c r="T745" s="16"/>
      <c r="U745" s="15"/>
      <c r="V745" s="19"/>
      <c r="W745" s="20"/>
      <c r="X745" s="37"/>
      <c r="Y745" s="37"/>
      <c r="Z745" s="79"/>
      <c r="AA745" s="19"/>
    </row>
    <row r="746" spans="1:27" s="12" customFormat="1" ht="93.75" customHeight="1" x14ac:dyDescent="0.25">
      <c r="A746" s="17">
        <f>IF(OR(D746=0,D746=""),"",COUNTA($D$535:D746))</f>
        <v>185</v>
      </c>
      <c r="B746" s="17" t="s">
        <v>1090</v>
      </c>
      <c r="C746" s="90" t="s">
        <v>298</v>
      </c>
      <c r="D746" s="43">
        <v>1917</v>
      </c>
      <c r="E746" s="16">
        <v>709.3</v>
      </c>
      <c r="F746" s="16">
        <v>468.2</v>
      </c>
      <c r="G746" s="16">
        <v>241.1</v>
      </c>
      <c r="H746" s="17" t="s">
        <v>258</v>
      </c>
      <c r="I746" s="15"/>
      <c r="J746" s="16"/>
      <c r="K746" s="16"/>
      <c r="L746" s="16"/>
      <c r="M746" s="18"/>
      <c r="N746" s="18"/>
      <c r="O746" s="18"/>
      <c r="P746" s="16"/>
      <c r="Q746" s="18"/>
      <c r="R746" s="16"/>
      <c r="S746" s="18"/>
      <c r="T746" s="18">
        <f>924*E746</f>
        <v>655393.19999999995</v>
      </c>
      <c r="U746" s="16"/>
      <c r="V746" s="19">
        <f t="shared" ref="V746" si="210">J746+K746+L746+M746+N746+O746+P746+Q746+R746+S746+T746+U746</f>
        <v>655393.19999999995</v>
      </c>
      <c r="W746" s="20" t="s">
        <v>1175</v>
      </c>
      <c r="X746" s="37">
        <v>0</v>
      </c>
      <c r="Y746" s="37">
        <v>0</v>
      </c>
      <c r="Z746" s="79">
        <v>0</v>
      </c>
      <c r="AA746" s="19">
        <f t="shared" ref="AA746" si="211">V746-(X746+Y746+Z746)</f>
        <v>655393.19999999995</v>
      </c>
    </row>
    <row r="747" spans="1:27" s="12" customFormat="1" ht="93.75" customHeight="1" x14ac:dyDescent="0.25">
      <c r="A747" s="17">
        <f>IF(OR(D747=0,D747=""),"",COUNTA($D$535:D747))</f>
        <v>186</v>
      </c>
      <c r="B747" s="17" t="s">
        <v>1093</v>
      </c>
      <c r="C747" s="90" t="s">
        <v>578</v>
      </c>
      <c r="D747" s="43">
        <v>2005</v>
      </c>
      <c r="E747" s="16">
        <v>1857.4</v>
      </c>
      <c r="F747" s="16">
        <v>1259.0999999999999</v>
      </c>
      <c r="G747" s="16">
        <v>0</v>
      </c>
      <c r="H747" s="17" t="s">
        <v>254</v>
      </c>
      <c r="I747" s="15"/>
      <c r="J747" s="16"/>
      <c r="K747" s="16"/>
      <c r="L747" s="16"/>
      <c r="M747" s="16"/>
      <c r="N747" s="16"/>
      <c r="O747" s="16"/>
      <c r="P747" s="16">
        <f>E747*3961</f>
        <v>7357161.4000000004</v>
      </c>
      <c r="Q747" s="16"/>
      <c r="R747" s="16"/>
      <c r="S747" s="16"/>
      <c r="T747" s="16"/>
      <c r="U747" s="16"/>
      <c r="V747" s="19">
        <f t="shared" ref="V747:V749" si="212">J747+K747+L747+M747+N747+O747+P747+Q747+R747+S747+T747+U747</f>
        <v>7357161.4000000004</v>
      </c>
      <c r="W747" s="20" t="s">
        <v>1175</v>
      </c>
      <c r="X747" s="37">
        <v>0</v>
      </c>
      <c r="Y747" s="37">
        <v>0</v>
      </c>
      <c r="Z747" s="79">
        <v>0</v>
      </c>
      <c r="AA747" s="19">
        <f t="shared" ref="AA747:AA749" si="213">V747-(X747+Y747+Z747)</f>
        <v>7357161.4000000004</v>
      </c>
    </row>
    <row r="748" spans="1:27" s="12" customFormat="1" ht="93.75" customHeight="1" x14ac:dyDescent="0.25">
      <c r="A748" s="17">
        <f>IF(OR(D748=0,D748=""),"",COUNTA($D$535:D748))</f>
        <v>187</v>
      </c>
      <c r="B748" s="17" t="s">
        <v>1091</v>
      </c>
      <c r="C748" s="90" t="s">
        <v>225</v>
      </c>
      <c r="D748" s="43">
        <v>1955</v>
      </c>
      <c r="E748" s="16">
        <v>1822.9</v>
      </c>
      <c r="F748" s="16">
        <v>763.9</v>
      </c>
      <c r="G748" s="16">
        <v>318.10000000000002</v>
      </c>
      <c r="H748" s="17" t="s">
        <v>250</v>
      </c>
      <c r="I748" s="15"/>
      <c r="J748" s="16">
        <f>E748*558</f>
        <v>1017178.2000000001</v>
      </c>
      <c r="K748" s="16"/>
      <c r="L748" s="16"/>
      <c r="M748" s="16"/>
      <c r="N748" s="16"/>
      <c r="O748" s="16"/>
      <c r="P748" s="16"/>
      <c r="Q748" s="16"/>
      <c r="R748" s="16"/>
      <c r="S748" s="16">
        <f>E748*116</f>
        <v>211456.40000000002</v>
      </c>
      <c r="T748" s="16"/>
      <c r="U748" s="16"/>
      <c r="V748" s="19">
        <f t="shared" si="212"/>
        <v>1228634.6000000001</v>
      </c>
      <c r="W748" s="20" t="s">
        <v>1175</v>
      </c>
      <c r="X748" s="37">
        <v>0</v>
      </c>
      <c r="Y748" s="37">
        <v>0</v>
      </c>
      <c r="Z748" s="79">
        <v>0</v>
      </c>
      <c r="AA748" s="19">
        <f t="shared" si="213"/>
        <v>1228634.6000000001</v>
      </c>
    </row>
    <row r="749" spans="1:27" s="12" customFormat="1" ht="93.75" customHeight="1" x14ac:dyDescent="0.25">
      <c r="A749" s="17">
        <f>IF(OR(D749=0,D749=""),"",COUNTA($D$535:D749))</f>
        <v>188</v>
      </c>
      <c r="B749" s="17" t="s">
        <v>1092</v>
      </c>
      <c r="C749" s="90" t="s">
        <v>226</v>
      </c>
      <c r="D749" s="43">
        <v>1957</v>
      </c>
      <c r="E749" s="16">
        <v>1023.8</v>
      </c>
      <c r="F749" s="16">
        <v>887</v>
      </c>
      <c r="G749" s="16">
        <v>98.9</v>
      </c>
      <c r="H749" s="17" t="s">
        <v>250</v>
      </c>
      <c r="I749" s="15"/>
      <c r="J749" s="16"/>
      <c r="K749" s="16"/>
      <c r="L749" s="16"/>
      <c r="M749" s="16"/>
      <c r="N749" s="16"/>
      <c r="O749" s="16"/>
      <c r="P749" s="16"/>
      <c r="Q749" s="16"/>
      <c r="R749" s="16"/>
      <c r="S749" s="16">
        <f>E749*116</f>
        <v>118760.79999999999</v>
      </c>
      <c r="T749" s="16"/>
      <c r="U749" s="16"/>
      <c r="V749" s="19">
        <f t="shared" si="212"/>
        <v>118760.79999999999</v>
      </c>
      <c r="W749" s="20" t="s">
        <v>1175</v>
      </c>
      <c r="X749" s="37">
        <v>0</v>
      </c>
      <c r="Y749" s="37">
        <v>0</v>
      </c>
      <c r="Z749" s="79">
        <v>0</v>
      </c>
      <c r="AA749" s="19">
        <f t="shared" si="213"/>
        <v>118760.79999999999</v>
      </c>
    </row>
    <row r="750" spans="1:27" s="13" customFormat="1" ht="93.75" customHeight="1" x14ac:dyDescent="0.25">
      <c r="A750" s="17" t="str">
        <f>IF(OR(D750=0,D750=""),"",COUNTA($D$535:D750))</f>
        <v/>
      </c>
      <c r="B750" s="17"/>
      <c r="C750" s="89"/>
      <c r="D750" s="21"/>
      <c r="E750" s="26">
        <f>SUM(E746:E749)</f>
        <v>5413.4000000000005</v>
      </c>
      <c r="F750" s="26">
        <f>SUM(F746:F749)</f>
        <v>3378.2</v>
      </c>
      <c r="G750" s="26">
        <f>SUM(G746:G749)</f>
        <v>658.1</v>
      </c>
      <c r="H750" s="17"/>
      <c r="I750" s="15"/>
      <c r="J750" s="26"/>
      <c r="K750" s="26"/>
      <c r="L750" s="26"/>
      <c r="M750" s="29"/>
      <c r="N750" s="26"/>
      <c r="O750" s="26"/>
      <c r="P750" s="26"/>
      <c r="Q750" s="26"/>
      <c r="R750" s="26"/>
      <c r="S750" s="26"/>
      <c r="T750" s="26"/>
      <c r="U750" s="17"/>
      <c r="V750" s="28">
        <f>SUM(V746:V749)</f>
        <v>9359950.0000000019</v>
      </c>
      <c r="W750" s="28"/>
      <c r="X750" s="28">
        <f>SUM(X746:X749)</f>
        <v>0</v>
      </c>
      <c r="Y750" s="28">
        <f>SUM(Y746:Y749)</f>
        <v>0</v>
      </c>
      <c r="Z750" s="81">
        <f>SUM(Z746:Z749)</f>
        <v>0</v>
      </c>
      <c r="AA750" s="28">
        <f>V750-(X750+Y750+Z750)</f>
        <v>9359950.0000000019</v>
      </c>
    </row>
    <row r="751" spans="1:27" s="12" customFormat="1" ht="93.75" customHeight="1" x14ac:dyDescent="0.25">
      <c r="A751" s="17" t="str">
        <f>IF(OR(D751=0,D751=""),"",COUNTA($D$535:D751))</f>
        <v/>
      </c>
      <c r="B751" s="17"/>
      <c r="C751" s="89" t="s">
        <v>1207</v>
      </c>
      <c r="D751" s="43"/>
      <c r="E751" s="16"/>
      <c r="F751" s="16"/>
      <c r="G751" s="16"/>
      <c r="H751" s="17"/>
      <c r="I751" s="15"/>
      <c r="J751" s="16"/>
      <c r="K751" s="16"/>
      <c r="L751" s="16"/>
      <c r="M751" s="18"/>
      <c r="N751" s="16"/>
      <c r="O751" s="16"/>
      <c r="P751" s="16"/>
      <c r="Q751" s="16"/>
      <c r="R751" s="16"/>
      <c r="S751" s="16"/>
      <c r="T751" s="16"/>
      <c r="U751" s="15"/>
      <c r="V751" s="19"/>
      <c r="W751" s="20"/>
      <c r="X751" s="37"/>
      <c r="Y751" s="37"/>
      <c r="Z751" s="20"/>
      <c r="AA751" s="19"/>
    </row>
    <row r="752" spans="1:27" s="12" customFormat="1" ht="93.75" customHeight="1" x14ac:dyDescent="0.25">
      <c r="A752" s="17">
        <f>IF(OR(D752=0,D752=""),"",COUNTA($D$535:D752))</f>
        <v>189</v>
      </c>
      <c r="B752" s="17" t="s">
        <v>1097</v>
      </c>
      <c r="C752" s="90" t="s">
        <v>592</v>
      </c>
      <c r="D752" s="43">
        <v>1965</v>
      </c>
      <c r="E752" s="16">
        <v>1103</v>
      </c>
      <c r="F752" s="16">
        <v>999.2</v>
      </c>
      <c r="G752" s="16">
        <v>0</v>
      </c>
      <c r="H752" s="17" t="s">
        <v>250</v>
      </c>
      <c r="I752" s="15"/>
      <c r="J752" s="16"/>
      <c r="K752" s="16"/>
      <c r="L752" s="16"/>
      <c r="M752" s="18"/>
      <c r="N752" s="16"/>
      <c r="O752" s="16"/>
      <c r="P752" s="16">
        <f>E752*3961</f>
        <v>4368983</v>
      </c>
      <c r="Q752" s="16"/>
      <c r="R752" s="16"/>
      <c r="S752" s="16"/>
      <c r="T752" s="16"/>
      <c r="U752" s="16"/>
      <c r="V752" s="19">
        <f t="shared" ref="V752" si="214">J752+K752+L752+M752+N752+O752+P752+Q752+R752+S752+T752+U752</f>
        <v>4368983</v>
      </c>
      <c r="W752" s="20" t="s">
        <v>1175</v>
      </c>
      <c r="X752" s="37">
        <v>0</v>
      </c>
      <c r="Y752" s="37">
        <v>0</v>
      </c>
      <c r="Z752" s="79">
        <v>0</v>
      </c>
      <c r="AA752" s="19">
        <f t="shared" ref="AA752" si="215">V752-(X752+Y752+Z752)</f>
        <v>4368983</v>
      </c>
    </row>
    <row r="753" spans="1:27" s="12" customFormat="1" ht="93.75" customHeight="1" x14ac:dyDescent="0.25">
      <c r="A753" s="17">
        <f>IF(OR(D753=0,D753=""),"",COUNTA($D$535:D753))</f>
        <v>190</v>
      </c>
      <c r="B753" s="17" t="s">
        <v>1096</v>
      </c>
      <c r="C753" s="90" t="s">
        <v>524</v>
      </c>
      <c r="D753" s="43">
        <v>1994</v>
      </c>
      <c r="E753" s="16">
        <v>1030.3</v>
      </c>
      <c r="F753" s="16">
        <v>858.2</v>
      </c>
      <c r="G753" s="16">
        <v>81.099999999999994</v>
      </c>
      <c r="H753" s="17" t="s">
        <v>250</v>
      </c>
      <c r="I753" s="15"/>
      <c r="J753" s="16"/>
      <c r="K753" s="16"/>
      <c r="L753" s="16"/>
      <c r="M753" s="18"/>
      <c r="N753" s="16"/>
      <c r="O753" s="16"/>
      <c r="P753" s="16">
        <f>E753*3961</f>
        <v>4081018.3</v>
      </c>
      <c r="Q753" s="16"/>
      <c r="R753" s="16"/>
      <c r="S753" s="16"/>
      <c r="T753" s="16"/>
      <c r="U753" s="16"/>
      <c r="V753" s="19">
        <f t="shared" ref="V753" si="216">J753+K753+L753+M753+N753+O753+P753+Q753+R753+S753+T753+U753</f>
        <v>4081018.3</v>
      </c>
      <c r="W753" s="20" t="s">
        <v>1175</v>
      </c>
      <c r="X753" s="37">
        <v>0</v>
      </c>
      <c r="Y753" s="37">
        <v>0</v>
      </c>
      <c r="Z753" s="79">
        <v>0</v>
      </c>
      <c r="AA753" s="19">
        <f t="shared" ref="AA753" si="217">V753-(X753+Y753+Z753)</f>
        <v>4081018.3</v>
      </c>
    </row>
    <row r="754" spans="1:27" s="13" customFormat="1" ht="93.75" customHeight="1" x14ac:dyDescent="0.25">
      <c r="A754" s="17" t="str">
        <f>IF(OR(D754=0,D754=""),"",COUNTA($D$535:D754))</f>
        <v/>
      </c>
      <c r="B754" s="17"/>
      <c r="C754" s="89"/>
      <c r="D754" s="21"/>
      <c r="E754" s="26">
        <f>SUM(E752:E753)</f>
        <v>2133.3000000000002</v>
      </c>
      <c r="F754" s="26">
        <f>SUM(F752:F753)</f>
        <v>1857.4</v>
      </c>
      <c r="G754" s="26">
        <f>SUM(G752:G753)</f>
        <v>81.099999999999994</v>
      </c>
      <c r="H754" s="17"/>
      <c r="I754" s="15"/>
      <c r="J754" s="26"/>
      <c r="K754" s="26"/>
      <c r="L754" s="26"/>
      <c r="M754" s="29"/>
      <c r="N754" s="26"/>
      <c r="O754" s="26"/>
      <c r="P754" s="26"/>
      <c r="Q754" s="26"/>
      <c r="R754" s="26"/>
      <c r="S754" s="26"/>
      <c r="T754" s="26"/>
      <c r="U754" s="17"/>
      <c r="V754" s="28">
        <f>SUM(V752:V753)</f>
        <v>8450001.3000000007</v>
      </c>
      <c r="W754" s="28"/>
      <c r="X754" s="28">
        <f>SUM(X752:X753)</f>
        <v>0</v>
      </c>
      <c r="Y754" s="28">
        <f>SUM(Y752:Y753)</f>
        <v>0</v>
      </c>
      <c r="Z754" s="81">
        <f>SUM(Z752:Z753)</f>
        <v>0</v>
      </c>
      <c r="AA754" s="28">
        <f>V754-(X754+Y754+Z754)</f>
        <v>8450001.3000000007</v>
      </c>
    </row>
    <row r="755" spans="1:27" s="1" customFormat="1" ht="99" customHeight="1" x14ac:dyDescent="0.25">
      <c r="A755" s="17" t="str">
        <f>IF(OR(D755=0,D755=""),"",COUNTA($D$535:D755))</f>
        <v/>
      </c>
      <c r="B755" s="17"/>
      <c r="C755" s="89" t="s">
        <v>1208</v>
      </c>
      <c r="D755" s="43"/>
      <c r="E755" s="16"/>
      <c r="F755" s="16"/>
      <c r="G755" s="16"/>
      <c r="H755" s="17"/>
      <c r="I755" s="15"/>
      <c r="J755" s="16"/>
      <c r="K755" s="16"/>
      <c r="L755" s="16"/>
      <c r="M755" s="18"/>
      <c r="N755" s="16"/>
      <c r="O755" s="16"/>
      <c r="P755" s="16"/>
      <c r="Q755" s="16"/>
      <c r="R755" s="16"/>
      <c r="S755" s="16"/>
      <c r="T755" s="16"/>
      <c r="U755" s="15"/>
      <c r="V755" s="19"/>
      <c r="W755" s="20"/>
      <c r="X755" s="37"/>
      <c r="Y755" s="37"/>
      <c r="Z755" s="20"/>
      <c r="AA755" s="19"/>
    </row>
    <row r="756" spans="1:27" s="1" customFormat="1" ht="99" customHeight="1" x14ac:dyDescent="0.25">
      <c r="A756" s="17">
        <f>IF(OR(D756=0,D756=""),"",COUNTA($D$535:D756))</f>
        <v>191</v>
      </c>
      <c r="B756" s="17" t="s">
        <v>1108</v>
      </c>
      <c r="C756" s="90" t="s">
        <v>569</v>
      </c>
      <c r="D756" s="43">
        <v>1963</v>
      </c>
      <c r="E756" s="16">
        <v>1046</v>
      </c>
      <c r="F756" s="16">
        <v>508</v>
      </c>
      <c r="G756" s="16">
        <v>478</v>
      </c>
      <c r="H756" s="17" t="s">
        <v>250</v>
      </c>
      <c r="I756" s="15"/>
      <c r="J756" s="16"/>
      <c r="K756" s="16"/>
      <c r="L756" s="16"/>
      <c r="M756" s="16"/>
      <c r="N756" s="16"/>
      <c r="O756" s="16"/>
      <c r="P756" s="16">
        <f>E756*3961</f>
        <v>4143206</v>
      </c>
      <c r="Q756" s="16"/>
      <c r="R756" s="16"/>
      <c r="S756" s="16"/>
      <c r="T756" s="16"/>
      <c r="U756" s="16"/>
      <c r="V756" s="19">
        <f t="shared" ref="V756:V757" si="218">J756+K756+L756+M756+N756+O756+P756+Q756+R756+S756+T756+U756</f>
        <v>4143206</v>
      </c>
      <c r="W756" s="20" t="s">
        <v>1175</v>
      </c>
      <c r="X756" s="37">
        <v>0</v>
      </c>
      <c r="Y756" s="37">
        <v>0</v>
      </c>
      <c r="Z756" s="79">
        <v>0</v>
      </c>
      <c r="AA756" s="19">
        <f t="shared" ref="AA756:AA757" si="219">V756-(X756+Y756+Z756)</f>
        <v>4143206</v>
      </c>
    </row>
    <row r="757" spans="1:27" s="1" customFormat="1" ht="99" customHeight="1" x14ac:dyDescent="0.25">
      <c r="A757" s="17">
        <f>IF(OR(D757=0,D757=""),"",COUNTA($D$535:D757))</f>
        <v>192</v>
      </c>
      <c r="B757" s="17" t="s">
        <v>1110</v>
      </c>
      <c r="C757" s="90" t="s">
        <v>570</v>
      </c>
      <c r="D757" s="43">
        <v>1964</v>
      </c>
      <c r="E757" s="16">
        <v>910</v>
      </c>
      <c r="F757" s="16">
        <v>773.5</v>
      </c>
      <c r="G757" s="16">
        <v>0</v>
      </c>
      <c r="H757" s="17" t="s">
        <v>250</v>
      </c>
      <c r="I757" s="15"/>
      <c r="J757" s="16"/>
      <c r="K757" s="16"/>
      <c r="L757" s="16"/>
      <c r="M757" s="16"/>
      <c r="N757" s="16"/>
      <c r="O757" s="16"/>
      <c r="P757" s="16">
        <f>E757*3961</f>
        <v>3604510</v>
      </c>
      <c r="Q757" s="16"/>
      <c r="R757" s="16"/>
      <c r="S757" s="16"/>
      <c r="T757" s="16"/>
      <c r="U757" s="16"/>
      <c r="V757" s="19">
        <f t="shared" si="218"/>
        <v>3604510</v>
      </c>
      <c r="W757" s="20" t="s">
        <v>1175</v>
      </c>
      <c r="X757" s="37">
        <v>0</v>
      </c>
      <c r="Y757" s="37">
        <v>0</v>
      </c>
      <c r="Z757" s="79">
        <v>0</v>
      </c>
      <c r="AA757" s="19">
        <f t="shared" si="219"/>
        <v>3604510</v>
      </c>
    </row>
    <row r="758" spans="1:27" s="1" customFormat="1" ht="99" customHeight="1" x14ac:dyDescent="0.25">
      <c r="A758" s="17">
        <f>IF(OR(D758=0,D758=""),"",COUNTA($D$535:D758))</f>
        <v>193</v>
      </c>
      <c r="B758" s="17" t="s">
        <v>1107</v>
      </c>
      <c r="C758" s="90" t="s">
        <v>503</v>
      </c>
      <c r="D758" s="43">
        <v>1960</v>
      </c>
      <c r="E758" s="16">
        <v>824.4</v>
      </c>
      <c r="F758" s="16">
        <v>529.79999999999995</v>
      </c>
      <c r="G758" s="16">
        <v>0</v>
      </c>
      <c r="H758" s="17" t="s">
        <v>250</v>
      </c>
      <c r="I758" s="15"/>
      <c r="J758" s="16"/>
      <c r="K758" s="16"/>
      <c r="L758" s="16"/>
      <c r="M758" s="16"/>
      <c r="N758" s="16"/>
      <c r="O758" s="16"/>
      <c r="P758" s="16">
        <f>E758*3961</f>
        <v>3265448.4</v>
      </c>
      <c r="Q758" s="16"/>
      <c r="R758" s="16"/>
      <c r="S758" s="16"/>
      <c r="T758" s="16"/>
      <c r="U758" s="16"/>
      <c r="V758" s="19">
        <f t="shared" ref="V758:V759" si="220">J758+K758+L758+M758+N758+O758+P758+Q758+R758+S758+T758+U758</f>
        <v>3265448.4</v>
      </c>
      <c r="W758" s="20" t="s">
        <v>1175</v>
      </c>
      <c r="X758" s="37">
        <v>0</v>
      </c>
      <c r="Y758" s="37">
        <v>0</v>
      </c>
      <c r="Z758" s="79">
        <v>0</v>
      </c>
      <c r="AA758" s="19">
        <f t="shared" ref="AA758:AA759" si="221">V758-(X758+Y758+Z758)</f>
        <v>3265448.4</v>
      </c>
    </row>
    <row r="759" spans="1:27" s="1" customFormat="1" ht="99" customHeight="1" x14ac:dyDescent="0.25">
      <c r="A759" s="17">
        <f>IF(OR(D759=0,D759=""),"",COUNTA($D$535:D759))</f>
        <v>194</v>
      </c>
      <c r="B759" s="17" t="s">
        <v>1106</v>
      </c>
      <c r="C759" s="90" t="s">
        <v>504</v>
      </c>
      <c r="D759" s="43">
        <v>1987</v>
      </c>
      <c r="E759" s="16">
        <v>686.5</v>
      </c>
      <c r="F759" s="16">
        <v>645.1</v>
      </c>
      <c r="G759" s="16">
        <v>0</v>
      </c>
      <c r="H759" s="17" t="s">
        <v>249</v>
      </c>
      <c r="I759" s="15"/>
      <c r="J759" s="16"/>
      <c r="K759" s="16"/>
      <c r="L759" s="16"/>
      <c r="M759" s="16"/>
      <c r="N759" s="16"/>
      <c r="O759" s="16"/>
      <c r="P759" s="16">
        <f>E759*3961</f>
        <v>2719226.5</v>
      </c>
      <c r="Q759" s="16"/>
      <c r="R759" s="16"/>
      <c r="S759" s="16"/>
      <c r="T759" s="16"/>
      <c r="U759" s="16"/>
      <c r="V759" s="19">
        <f t="shared" si="220"/>
        <v>2719226.5</v>
      </c>
      <c r="W759" s="20" t="s">
        <v>1175</v>
      </c>
      <c r="X759" s="37">
        <v>0</v>
      </c>
      <c r="Y759" s="37">
        <v>0</v>
      </c>
      <c r="Z759" s="79">
        <v>0</v>
      </c>
      <c r="AA759" s="19">
        <f t="shared" si="221"/>
        <v>2719226.5</v>
      </c>
    </row>
    <row r="760" spans="1:27" s="1" customFormat="1" ht="99" customHeight="1" x14ac:dyDescent="0.25">
      <c r="A760" s="17" t="str">
        <f>IF(OR(D760=0,D760=""),"",COUNTA($D$535:D760))</f>
        <v/>
      </c>
      <c r="B760" s="17"/>
      <c r="C760" s="89"/>
      <c r="D760" s="21"/>
      <c r="E760" s="26">
        <f>SUM(E756:E759)</f>
        <v>3466.9</v>
      </c>
      <c r="F760" s="26">
        <f>SUM(F756:F759)</f>
        <v>2456.4</v>
      </c>
      <c r="G760" s="26">
        <f>SUM(G756:G759)</f>
        <v>478</v>
      </c>
      <c r="H760" s="17"/>
      <c r="I760" s="15"/>
      <c r="J760" s="26"/>
      <c r="K760" s="26"/>
      <c r="L760" s="26"/>
      <c r="M760" s="29"/>
      <c r="N760" s="26"/>
      <c r="O760" s="26"/>
      <c r="P760" s="26"/>
      <c r="Q760" s="26"/>
      <c r="R760" s="26"/>
      <c r="S760" s="26"/>
      <c r="T760" s="26"/>
      <c r="U760" s="17"/>
      <c r="V760" s="28">
        <f>SUM(V756:V759)</f>
        <v>13732390.9</v>
      </c>
      <c r="W760" s="28"/>
      <c r="X760" s="28">
        <f>SUM(X756:X759)</f>
        <v>0</v>
      </c>
      <c r="Y760" s="28">
        <f>SUM(Y756:Y759)</f>
        <v>0</v>
      </c>
      <c r="Z760" s="81">
        <f>SUM(Z756:Z759)</f>
        <v>0</v>
      </c>
      <c r="AA760" s="28">
        <f t="shared" ref="AA760" si="222">V760-(X760+Y760+Z760)</f>
        <v>13732390.9</v>
      </c>
    </row>
    <row r="761" spans="1:27" s="1" customFormat="1" ht="99" customHeight="1" x14ac:dyDescent="0.25">
      <c r="A761" s="17" t="str">
        <f>IF(OR(D761=0,D761=""),"",COUNTA($D$535:D761))</f>
        <v/>
      </c>
      <c r="B761" s="17"/>
      <c r="C761" s="89" t="s">
        <v>1148</v>
      </c>
      <c r="D761" s="43"/>
      <c r="E761" s="16"/>
      <c r="F761" s="16"/>
      <c r="G761" s="16"/>
      <c r="H761" s="17"/>
      <c r="I761" s="15"/>
      <c r="J761" s="16"/>
      <c r="K761" s="16"/>
      <c r="L761" s="16"/>
      <c r="M761" s="18"/>
      <c r="N761" s="16"/>
      <c r="O761" s="16"/>
      <c r="P761" s="16"/>
      <c r="Q761" s="16"/>
      <c r="R761" s="16"/>
      <c r="S761" s="16"/>
      <c r="T761" s="16"/>
      <c r="U761" s="15"/>
      <c r="V761" s="19"/>
      <c r="W761" s="20"/>
      <c r="X761" s="37"/>
      <c r="Y761" s="37"/>
      <c r="Z761" s="20"/>
      <c r="AA761" s="19"/>
    </row>
    <row r="762" spans="1:27" s="1" customFormat="1" ht="99" customHeight="1" x14ac:dyDescent="0.25">
      <c r="A762" s="17">
        <f>IF(OR(D762=0,D762=""),"",COUNTA($D$535:D762))</f>
        <v>195</v>
      </c>
      <c r="B762" s="17" t="s">
        <v>1115</v>
      </c>
      <c r="C762" s="90" t="s">
        <v>579</v>
      </c>
      <c r="D762" s="43">
        <v>1970</v>
      </c>
      <c r="E762" s="16">
        <v>2814.76</v>
      </c>
      <c r="F762" s="16">
        <v>1268.4000000000001</v>
      </c>
      <c r="G762" s="16">
        <v>369.3</v>
      </c>
      <c r="H762" s="17" t="s">
        <v>256</v>
      </c>
      <c r="I762" s="15"/>
      <c r="J762" s="16"/>
      <c r="K762" s="16"/>
      <c r="L762" s="16"/>
      <c r="M762" s="18"/>
      <c r="N762" s="16"/>
      <c r="O762" s="16"/>
      <c r="P762" s="16"/>
      <c r="Q762" s="16"/>
      <c r="R762" s="16">
        <f>E762*2763</f>
        <v>7777181.8800000008</v>
      </c>
      <c r="S762" s="16"/>
      <c r="T762" s="16"/>
      <c r="U762" s="16"/>
      <c r="V762" s="19">
        <f t="shared" ref="V762:V765" si="223">J762+K762+L762+M762+N762+O762+P762+Q762+R762+S762+T762+U762</f>
        <v>7777181.8800000008</v>
      </c>
      <c r="W762" s="20" t="s">
        <v>1175</v>
      </c>
      <c r="X762" s="37">
        <v>0</v>
      </c>
      <c r="Y762" s="37">
        <v>0</v>
      </c>
      <c r="Z762" s="79">
        <v>0</v>
      </c>
      <c r="AA762" s="19">
        <f t="shared" ref="AA762:AA765" si="224">V762-(X762+Y762+Z762)</f>
        <v>7777181.8800000008</v>
      </c>
    </row>
    <row r="763" spans="1:27" s="1" customFormat="1" ht="99" customHeight="1" x14ac:dyDescent="0.25">
      <c r="A763" s="17">
        <f>IF(OR(D763=0,D763=""),"",COUNTA($D$535:D763))</f>
        <v>196</v>
      </c>
      <c r="B763" s="17" t="s">
        <v>1118</v>
      </c>
      <c r="C763" s="90" t="s">
        <v>580</v>
      </c>
      <c r="D763" s="43">
        <v>1980</v>
      </c>
      <c r="E763" s="16">
        <v>2530.6</v>
      </c>
      <c r="F763" s="16">
        <v>2063</v>
      </c>
      <c r="G763" s="16">
        <v>75.099999999999994</v>
      </c>
      <c r="H763" s="17" t="s">
        <v>254</v>
      </c>
      <c r="I763" s="15"/>
      <c r="J763" s="16"/>
      <c r="K763" s="16"/>
      <c r="L763" s="16"/>
      <c r="M763" s="18"/>
      <c r="N763" s="16"/>
      <c r="O763" s="16"/>
      <c r="P763" s="16"/>
      <c r="Q763" s="16"/>
      <c r="R763" s="16">
        <f>E763*3011</f>
        <v>7619636.5999999996</v>
      </c>
      <c r="S763" s="16"/>
      <c r="T763" s="16"/>
      <c r="U763" s="16"/>
      <c r="V763" s="19">
        <f t="shared" si="223"/>
        <v>7619636.5999999996</v>
      </c>
      <c r="W763" s="20" t="s">
        <v>1175</v>
      </c>
      <c r="X763" s="37">
        <v>0</v>
      </c>
      <c r="Y763" s="37">
        <v>0</v>
      </c>
      <c r="Z763" s="79">
        <v>0</v>
      </c>
      <c r="AA763" s="19">
        <f t="shared" si="224"/>
        <v>7619636.5999999996</v>
      </c>
    </row>
    <row r="764" spans="1:27" s="1" customFormat="1" ht="99" customHeight="1" x14ac:dyDescent="0.25">
      <c r="A764" s="17">
        <f>IF(OR(D764=0,D764=""),"",COUNTA($D$535:D764))</f>
        <v>197</v>
      </c>
      <c r="B764" s="17" t="s">
        <v>1117</v>
      </c>
      <c r="C764" s="90" t="s">
        <v>535</v>
      </c>
      <c r="D764" s="43">
        <v>1962</v>
      </c>
      <c r="E764" s="16">
        <v>1254.81</v>
      </c>
      <c r="F764" s="16">
        <v>607.29999999999995</v>
      </c>
      <c r="G764" s="16">
        <v>0</v>
      </c>
      <c r="H764" s="17" t="s">
        <v>250</v>
      </c>
      <c r="I764" s="15"/>
      <c r="J764" s="16"/>
      <c r="K764" s="16"/>
      <c r="L764" s="16"/>
      <c r="M764" s="18"/>
      <c r="N764" s="16"/>
      <c r="O764" s="16"/>
      <c r="P764" s="16"/>
      <c r="Q764" s="16"/>
      <c r="R764" s="16">
        <f>E764*3011</f>
        <v>3778232.9099999997</v>
      </c>
      <c r="S764" s="16"/>
      <c r="T764" s="16"/>
      <c r="U764" s="16"/>
      <c r="V764" s="19">
        <f t="shared" si="223"/>
        <v>3778232.9099999997</v>
      </c>
      <c r="W764" s="20" t="s">
        <v>1175</v>
      </c>
      <c r="X764" s="37">
        <v>0</v>
      </c>
      <c r="Y764" s="37">
        <v>0</v>
      </c>
      <c r="Z764" s="79">
        <v>0</v>
      </c>
      <c r="AA764" s="19">
        <f t="shared" si="224"/>
        <v>3778232.9099999997</v>
      </c>
    </row>
    <row r="765" spans="1:27" s="1" customFormat="1" ht="99" customHeight="1" x14ac:dyDescent="0.25">
      <c r="A765" s="17">
        <f>IF(OR(D765=0,D765=""),"",COUNTA($D$535:D765))</f>
        <v>198</v>
      </c>
      <c r="B765" s="17" t="s">
        <v>1119</v>
      </c>
      <c r="C765" s="90" t="s">
        <v>557</v>
      </c>
      <c r="D765" s="43">
        <v>1989</v>
      </c>
      <c r="E765" s="16">
        <v>6832</v>
      </c>
      <c r="F765" s="16">
        <v>4747.8</v>
      </c>
      <c r="G765" s="16">
        <v>2084.1999999999998</v>
      </c>
      <c r="H765" s="17" t="s">
        <v>257</v>
      </c>
      <c r="I765" s="15"/>
      <c r="J765" s="16"/>
      <c r="K765" s="16"/>
      <c r="L765" s="16"/>
      <c r="M765" s="18"/>
      <c r="N765" s="16"/>
      <c r="O765" s="16"/>
      <c r="P765" s="16">
        <f>2308*E765</f>
        <v>15768256</v>
      </c>
      <c r="Q765" s="16"/>
      <c r="R765" s="16"/>
      <c r="S765" s="16"/>
      <c r="T765" s="16"/>
      <c r="U765" s="16"/>
      <c r="V765" s="19">
        <f t="shared" si="223"/>
        <v>15768256</v>
      </c>
      <c r="W765" s="20" t="s">
        <v>1175</v>
      </c>
      <c r="X765" s="37">
        <v>0</v>
      </c>
      <c r="Y765" s="37">
        <v>0</v>
      </c>
      <c r="Z765" s="79">
        <v>0</v>
      </c>
      <c r="AA765" s="19">
        <f t="shared" si="224"/>
        <v>15768256</v>
      </c>
    </row>
    <row r="766" spans="1:27" s="1" customFormat="1" ht="99" customHeight="1" x14ac:dyDescent="0.25">
      <c r="A766" s="17" t="str">
        <f>IF(OR(D766=0,D766=""),"",COUNTA($D$535:D766))</f>
        <v/>
      </c>
      <c r="B766" s="17"/>
      <c r="C766" s="89"/>
      <c r="D766" s="21"/>
      <c r="E766" s="28">
        <f>SUM(E762:E765)</f>
        <v>13432.17</v>
      </c>
      <c r="F766" s="28">
        <f>SUM(F762:F765)</f>
        <v>8686.5</v>
      </c>
      <c r="G766" s="28">
        <f>SUM(G762:G765)</f>
        <v>2528.6</v>
      </c>
      <c r="H766" s="17"/>
      <c r="I766" s="15"/>
      <c r="J766" s="26"/>
      <c r="K766" s="26"/>
      <c r="L766" s="26"/>
      <c r="M766" s="29"/>
      <c r="N766" s="26"/>
      <c r="O766" s="26"/>
      <c r="P766" s="26"/>
      <c r="Q766" s="26"/>
      <c r="R766" s="26"/>
      <c r="S766" s="26"/>
      <c r="T766" s="26"/>
      <c r="U766" s="17"/>
      <c r="V766" s="28">
        <f>SUM(V762:V765)</f>
        <v>34943307.390000001</v>
      </c>
      <c r="W766" s="28"/>
      <c r="X766" s="28">
        <f>SUM(X762:X765)</f>
        <v>0</v>
      </c>
      <c r="Y766" s="28">
        <f>SUM(Y762:Y765)</f>
        <v>0</v>
      </c>
      <c r="Z766" s="28">
        <f>SUM(Z762:Z765)</f>
        <v>0</v>
      </c>
      <c r="AA766" s="28">
        <f>SUM(AA762:AA765)</f>
        <v>34943307.390000001</v>
      </c>
    </row>
    <row r="767" spans="1:27" s="1" customFormat="1" ht="99" customHeight="1" x14ac:dyDescent="0.25">
      <c r="A767" s="17" t="str">
        <f>IF(OR(D767=0,D767=""),"",COUNTA($D$535:D767))</f>
        <v/>
      </c>
      <c r="B767" s="17"/>
      <c r="C767" s="89" t="s">
        <v>1209</v>
      </c>
      <c r="D767" s="43"/>
      <c r="E767" s="16"/>
      <c r="F767" s="16"/>
      <c r="G767" s="16"/>
      <c r="H767" s="17"/>
      <c r="I767" s="15"/>
      <c r="J767" s="16"/>
      <c r="K767" s="16"/>
      <c r="L767" s="16"/>
      <c r="M767" s="18"/>
      <c r="N767" s="16"/>
      <c r="O767" s="16"/>
      <c r="P767" s="16"/>
      <c r="Q767" s="16"/>
      <c r="R767" s="16"/>
      <c r="S767" s="16"/>
      <c r="T767" s="16"/>
      <c r="U767" s="15"/>
      <c r="V767" s="19"/>
      <c r="W767" s="20"/>
      <c r="X767" s="37"/>
      <c r="Y767" s="37"/>
      <c r="Z767" s="20"/>
      <c r="AA767" s="19"/>
    </row>
    <row r="768" spans="1:27" s="1" customFormat="1" ht="99" customHeight="1" x14ac:dyDescent="0.25">
      <c r="A768" s="17">
        <f>IF(OR(D768=0,D768=""),"",COUNTA($D$535:D768))</f>
        <v>199</v>
      </c>
      <c r="B768" s="17" t="s">
        <v>1122</v>
      </c>
      <c r="C768" s="90" t="s">
        <v>558</v>
      </c>
      <c r="D768" s="43">
        <v>1979</v>
      </c>
      <c r="E768" s="16">
        <v>1234.8</v>
      </c>
      <c r="F768" s="16">
        <v>1169.7</v>
      </c>
      <c r="G768" s="16">
        <v>433.8</v>
      </c>
      <c r="H768" s="17" t="s">
        <v>254</v>
      </c>
      <c r="I768" s="15"/>
      <c r="J768" s="16"/>
      <c r="K768" s="16"/>
      <c r="L768" s="16"/>
      <c r="M768" s="18"/>
      <c r="N768" s="16"/>
      <c r="O768" s="16"/>
      <c r="P768" s="16">
        <f>E768*3961</f>
        <v>4891042.8</v>
      </c>
      <c r="Q768" s="16"/>
      <c r="R768" s="16"/>
      <c r="S768" s="16"/>
      <c r="T768" s="16"/>
      <c r="U768" s="16"/>
      <c r="V768" s="19">
        <f t="shared" ref="V768" si="225">J768+K768+L768+M768+N768+O768+P768+Q768+R768+S768+T768+U768</f>
        <v>4891042.8</v>
      </c>
      <c r="W768" s="20" t="s">
        <v>1175</v>
      </c>
      <c r="X768" s="98">
        <v>0</v>
      </c>
      <c r="Y768" s="37">
        <v>0</v>
      </c>
      <c r="Z768" s="79">
        <v>0</v>
      </c>
      <c r="AA768" s="19">
        <f t="shared" ref="AA768" si="226">V768-(X768+Y768+Z768)</f>
        <v>4891042.8</v>
      </c>
    </row>
    <row r="769" spans="1:27" s="1" customFormat="1" ht="99" customHeight="1" x14ac:dyDescent="0.25">
      <c r="A769" s="17" t="str">
        <f>IF(OR(D769=0,D769=""),"",COUNTA($D$535:D769))</f>
        <v/>
      </c>
      <c r="B769" s="17"/>
      <c r="C769" s="89"/>
      <c r="D769" s="21"/>
      <c r="E769" s="28">
        <f>SUM(E768:E768)</f>
        <v>1234.8</v>
      </c>
      <c r="F769" s="28">
        <f>SUM(F768:F768)</f>
        <v>1169.7</v>
      </c>
      <c r="G769" s="28">
        <f>SUM(G768:G768)</f>
        <v>433.8</v>
      </c>
      <c r="H769" s="17"/>
      <c r="I769" s="15"/>
      <c r="J769" s="26"/>
      <c r="K769" s="26"/>
      <c r="L769" s="26"/>
      <c r="M769" s="29"/>
      <c r="N769" s="26"/>
      <c r="O769" s="26"/>
      <c r="P769" s="26"/>
      <c r="Q769" s="26"/>
      <c r="R769" s="26"/>
      <c r="S769" s="26"/>
      <c r="T769" s="26"/>
      <c r="U769" s="17"/>
      <c r="V769" s="28">
        <f>SUM(V768:V768)</f>
        <v>4891042.8</v>
      </c>
      <c r="W769" s="28"/>
      <c r="X769" s="99">
        <f>SUM(X768)</f>
        <v>0</v>
      </c>
      <c r="Y769" s="99">
        <f t="shared" ref="Y769:Z769" si="227">SUM(Y768)</f>
        <v>0</v>
      </c>
      <c r="Z769" s="99">
        <f t="shared" si="227"/>
        <v>0</v>
      </c>
      <c r="AA769" s="28">
        <f>SUM(AA768:AA768)</f>
        <v>4891042.8</v>
      </c>
    </row>
    <row r="770" spans="1:27" s="1" customFormat="1" ht="99" customHeight="1" x14ac:dyDescent="0.25">
      <c r="A770" s="17" t="str">
        <f>IF(OR(D770=0,D770=""),"",COUNTA($D$535:D770))</f>
        <v/>
      </c>
      <c r="B770" s="17"/>
      <c r="C770" s="89" t="s">
        <v>1198</v>
      </c>
      <c r="D770" s="43"/>
      <c r="E770" s="16"/>
      <c r="F770" s="16"/>
      <c r="G770" s="16"/>
      <c r="H770" s="17"/>
      <c r="I770" s="15"/>
      <c r="J770" s="16"/>
      <c r="K770" s="16"/>
      <c r="L770" s="16"/>
      <c r="M770" s="18"/>
      <c r="N770" s="16"/>
      <c r="O770" s="16"/>
      <c r="P770" s="16"/>
      <c r="Q770" s="16"/>
      <c r="R770" s="16"/>
      <c r="S770" s="16"/>
      <c r="T770" s="16"/>
      <c r="U770" s="15"/>
      <c r="V770" s="19"/>
      <c r="W770" s="20"/>
      <c r="X770" s="37"/>
      <c r="Y770" s="37"/>
      <c r="Z770" s="20"/>
      <c r="AA770" s="19"/>
    </row>
    <row r="771" spans="1:27" s="1" customFormat="1" ht="99" customHeight="1" x14ac:dyDescent="0.25">
      <c r="A771" s="17">
        <f>IF(OR(D771=0,D771=""),"",COUNTA($D$535:D771))</f>
        <v>200</v>
      </c>
      <c r="B771" s="17" t="s">
        <v>1129</v>
      </c>
      <c r="C771" s="90" t="s">
        <v>228</v>
      </c>
      <c r="D771" s="43">
        <v>1970</v>
      </c>
      <c r="E771" s="16">
        <v>823.7</v>
      </c>
      <c r="F771" s="16">
        <v>762.1</v>
      </c>
      <c r="G771" s="16">
        <v>61.6</v>
      </c>
      <c r="H771" s="17" t="s">
        <v>250</v>
      </c>
      <c r="I771" s="15"/>
      <c r="J771" s="16"/>
      <c r="K771" s="16"/>
      <c r="L771" s="16"/>
      <c r="M771" s="18"/>
      <c r="N771" s="16"/>
      <c r="O771" s="16"/>
      <c r="P771" s="16">
        <f>E771*3961</f>
        <v>3262675.7</v>
      </c>
      <c r="Q771" s="16"/>
      <c r="R771" s="16"/>
      <c r="S771" s="16"/>
      <c r="T771" s="16"/>
      <c r="U771" s="16"/>
      <c r="V771" s="19">
        <f t="shared" ref="V771" si="228">J771+K771+L771+M771+N771+O771+P771+Q771+R771+S771+T771+U771</f>
        <v>3262675.7</v>
      </c>
      <c r="W771" s="20" t="s">
        <v>1175</v>
      </c>
      <c r="X771" s="37">
        <v>0</v>
      </c>
      <c r="Y771" s="37">
        <v>0</v>
      </c>
      <c r="Z771" s="79">
        <v>0</v>
      </c>
      <c r="AA771" s="19">
        <f>V771-(X771+Y771+Z771)</f>
        <v>3262675.7</v>
      </c>
    </row>
    <row r="772" spans="1:27" ht="99" customHeight="1" x14ac:dyDescent="0.25">
      <c r="A772" s="17" t="str">
        <f>IF(OR(D772=0,D772=""),"",COUNTA($D$535:D772))</f>
        <v/>
      </c>
      <c r="B772" s="17"/>
      <c r="C772" s="89"/>
      <c r="D772" s="21"/>
      <c r="E772" s="26">
        <f>SUM(E771)</f>
        <v>823.7</v>
      </c>
      <c r="F772" s="26">
        <f>SUM(F771)</f>
        <v>762.1</v>
      </c>
      <c r="G772" s="26">
        <f>SUM(G771)</f>
        <v>61.6</v>
      </c>
      <c r="H772" s="17"/>
      <c r="I772" s="15"/>
      <c r="J772" s="26"/>
      <c r="K772" s="26"/>
      <c r="L772" s="26"/>
      <c r="M772" s="29"/>
      <c r="N772" s="26"/>
      <c r="O772" s="26"/>
      <c r="P772" s="26"/>
      <c r="Q772" s="26"/>
      <c r="R772" s="26"/>
      <c r="S772" s="26"/>
      <c r="T772" s="26"/>
      <c r="U772" s="17"/>
      <c r="V772" s="26">
        <f>SUM(V771)</f>
        <v>3262675.7</v>
      </c>
      <c r="W772" s="26"/>
      <c r="X772" s="26">
        <f t="shared" ref="X772:Z772" si="229">SUM(X771)</f>
        <v>0</v>
      </c>
      <c r="Y772" s="26">
        <f t="shared" si="229"/>
        <v>0</v>
      </c>
      <c r="Z772" s="80">
        <f t="shared" si="229"/>
        <v>0</v>
      </c>
      <c r="AA772" s="28">
        <f>V772-(X772+Y772+Z772)</f>
        <v>3262675.7</v>
      </c>
    </row>
    <row r="773" spans="1:27" ht="99" customHeight="1" x14ac:dyDescent="0.25">
      <c r="A773" s="17" t="str">
        <f>IF(OR(D773=0,D773=""),"",COUNTA($D$535:D773))</f>
        <v/>
      </c>
      <c r="B773" s="17"/>
      <c r="C773" s="89" t="s">
        <v>1222</v>
      </c>
      <c r="D773" s="43"/>
      <c r="E773" s="16"/>
      <c r="F773" s="16"/>
      <c r="G773" s="16"/>
      <c r="H773" s="17"/>
      <c r="I773" s="15"/>
      <c r="J773" s="16"/>
      <c r="K773" s="16"/>
      <c r="L773" s="16"/>
      <c r="M773" s="18"/>
      <c r="N773" s="16"/>
      <c r="O773" s="16"/>
      <c r="P773" s="16"/>
      <c r="Q773" s="16"/>
      <c r="R773" s="16"/>
      <c r="S773" s="16"/>
      <c r="T773" s="16"/>
      <c r="U773" s="15"/>
      <c r="V773" s="19"/>
      <c r="W773" s="20"/>
      <c r="X773" s="37"/>
      <c r="Y773" s="37"/>
      <c r="Z773" s="79"/>
      <c r="AA773" s="19"/>
    </row>
    <row r="774" spans="1:27" ht="99" customHeight="1" x14ac:dyDescent="0.25">
      <c r="A774" s="17">
        <f>IF(OR(D774=0,D774=""),"",COUNTA($D$535:D774))</f>
        <v>201</v>
      </c>
      <c r="B774" s="17" t="s">
        <v>1143</v>
      </c>
      <c r="C774" s="90" t="s">
        <v>234</v>
      </c>
      <c r="D774" s="43">
        <v>1966</v>
      </c>
      <c r="E774" s="16">
        <v>3290.8</v>
      </c>
      <c r="F774" s="16">
        <v>1989.9</v>
      </c>
      <c r="G774" s="16">
        <v>0</v>
      </c>
      <c r="H774" s="17" t="s">
        <v>256</v>
      </c>
      <c r="I774" s="15"/>
      <c r="J774" s="16"/>
      <c r="K774" s="16"/>
      <c r="L774" s="16"/>
      <c r="M774" s="16"/>
      <c r="N774" s="16"/>
      <c r="O774" s="16"/>
      <c r="P774" s="16">
        <f>2308*E774</f>
        <v>7595166.4000000004</v>
      </c>
      <c r="Q774" s="16"/>
      <c r="R774" s="16"/>
      <c r="S774" s="16"/>
      <c r="T774" s="16"/>
      <c r="U774" s="16"/>
      <c r="V774" s="19">
        <f t="shared" ref="V774" si="230">J774+K774+L774+M774+N774+O774+P774+Q774+R774+S774+T774+U774</f>
        <v>7595166.4000000004</v>
      </c>
      <c r="W774" s="20" t="s">
        <v>1175</v>
      </c>
      <c r="X774" s="37">
        <v>0</v>
      </c>
      <c r="Y774" s="37">
        <v>0</v>
      </c>
      <c r="Z774" s="79">
        <v>0</v>
      </c>
      <c r="AA774" s="19">
        <f t="shared" ref="AA774" si="231">V774-(X774+Y774+Z774)</f>
        <v>7595166.4000000004</v>
      </c>
    </row>
    <row r="775" spans="1:27" ht="99" customHeight="1" x14ac:dyDescent="0.25">
      <c r="A775" s="17">
        <f>IF(OR(D775=0,D775=""),"",COUNTA($D$535:D775))</f>
        <v>202</v>
      </c>
      <c r="B775" s="17" t="s">
        <v>1134</v>
      </c>
      <c r="C775" s="90" t="s">
        <v>230</v>
      </c>
      <c r="D775" s="43">
        <v>1960</v>
      </c>
      <c r="E775" s="16">
        <v>2806.9</v>
      </c>
      <c r="F775" s="16">
        <v>1423.9</v>
      </c>
      <c r="G775" s="16">
        <v>113.5</v>
      </c>
      <c r="H775" s="17" t="s">
        <v>254</v>
      </c>
      <c r="I775" s="15"/>
      <c r="J775" s="16"/>
      <c r="K775" s="16"/>
      <c r="L775" s="16"/>
      <c r="M775" s="16"/>
      <c r="N775" s="16"/>
      <c r="O775" s="16"/>
      <c r="P775" s="16">
        <f>E775*3961</f>
        <v>11118130.9</v>
      </c>
      <c r="Q775" s="16"/>
      <c r="R775" s="16"/>
      <c r="S775" s="16"/>
      <c r="T775" s="16"/>
      <c r="U775" s="16"/>
      <c r="V775" s="19">
        <f t="shared" ref="V775" si="232">J775+K775+L775+M775+N775+O775+P775+Q775+R775+S775+T775+U775</f>
        <v>11118130.9</v>
      </c>
      <c r="W775" s="20" t="s">
        <v>1175</v>
      </c>
      <c r="X775" s="37">
        <v>0</v>
      </c>
      <c r="Y775" s="37">
        <v>0</v>
      </c>
      <c r="Z775" s="79">
        <v>0</v>
      </c>
      <c r="AA775" s="19">
        <f t="shared" ref="AA775" si="233">V775-(X775+Y775+Z775)</f>
        <v>11118130.9</v>
      </c>
    </row>
    <row r="776" spans="1:27" ht="99" customHeight="1" x14ac:dyDescent="0.25">
      <c r="A776" s="17" t="str">
        <f>IF(OR(D776=0,D776=""),"",COUNTA($D$535:D776))</f>
        <v/>
      </c>
      <c r="B776" s="17"/>
      <c r="C776" s="27"/>
      <c r="D776" s="53"/>
      <c r="E776" s="26">
        <f>SUM(E774:E775)</f>
        <v>6097.7000000000007</v>
      </c>
      <c r="F776" s="26">
        <f>SUM(F774:F775)</f>
        <v>3413.8</v>
      </c>
      <c r="G776" s="26">
        <f>SUM(G774:G775)</f>
        <v>113.5</v>
      </c>
      <c r="H776" s="31"/>
      <c r="I776" s="20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41"/>
      <c r="V776" s="26">
        <f>SUM(V774:V775)</f>
        <v>18713297.300000001</v>
      </c>
      <c r="W776" s="26"/>
      <c r="X776" s="26">
        <f>SUM(X774:X775)</f>
        <v>0</v>
      </c>
      <c r="Y776" s="26">
        <f>SUM(Y774:Y775)</f>
        <v>0</v>
      </c>
      <c r="Z776" s="80">
        <f>SUM(Z774:Z775)</f>
        <v>0</v>
      </c>
      <c r="AA776" s="26">
        <f>SUM(AA774:AA775)</f>
        <v>18713297.300000001</v>
      </c>
    </row>
    <row r="777" spans="1:27" ht="99" customHeight="1" x14ac:dyDescent="0.25">
      <c r="A777" s="17" t="str">
        <f>IF(OR(D777=0,D777=""),"",COUNTA($D$535:D777))</f>
        <v/>
      </c>
      <c r="B777" s="17"/>
      <c r="C777" s="89" t="s">
        <v>248</v>
      </c>
      <c r="D777" s="53"/>
      <c r="E777" s="26">
        <f>E776+E772+E769+E766+E760+E754+E750+E744+E740+E728+E724+E717+E712+E577+E573+E568+E552+E546+E542+E537</f>
        <v>918681.80999999959</v>
      </c>
      <c r="F777" s="26">
        <f>F776+F772+F769+F766+F760+F754+F750+F744+F740+F728+F724+F717+F712+F577+F573+F568+F552+F546+F542+F537</f>
        <v>654776.45000000007</v>
      </c>
      <c r="G777" s="26">
        <f>G776+G772+G769+G766+G760+G754+G750+G744+G740+G728+G724+G717+G712+G577+G573+G568+G552+G546+G542+G537</f>
        <v>66653.359999999986</v>
      </c>
      <c r="H777" s="31"/>
      <c r="I777" s="20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41"/>
      <c r="V777" s="26">
        <f>V776+V772+V769+V766+V760+V754+V750+V744+V740+V728+V724+V717+V712+V577+V573+V568+V552+V546+V542+V537</f>
        <v>2147720285.3661003</v>
      </c>
      <c r="W777" s="26"/>
      <c r="X777" s="26">
        <f>X776+X772+X769+X766+X760+X754+X750+X744+X740+X728+X724+X717+X712+X577+X573+X568+X552+X546+X542+X537</f>
        <v>0</v>
      </c>
      <c r="Y777" s="26">
        <f>Y776+Y772+Y769+Y766+Y760+Y754+Y750+Y744+Y740+Y728+Y724+Y717+Y712+Y577+Y573+Y568+Y552+Y546+Y542+Y537</f>
        <v>0</v>
      </c>
      <c r="Z777" s="26">
        <f>Z776+Z772+Z769+Z766+Z760+Z754+Z750+Z744+Z740+Z728+Z724+Z717+Z712+Z577+Z573+Z568+Z552+Z546+Z542+Z537</f>
        <v>0</v>
      </c>
      <c r="AA777" s="26">
        <f>AA776+AA772+AA769+AA766+AA760+AA754+AA750+AA744+AA740+AA728+AA724+AA717+AA712+AA577+AA573+AA568+AA552+AA546+AA542+AA537</f>
        <v>2147720285.3661003</v>
      </c>
    </row>
    <row r="778" spans="1:27" ht="99" customHeight="1" x14ac:dyDescent="0.25">
      <c r="A778" s="17" t="str">
        <f>IF(OR(D778=0,D778=""),"",COUNTA($D$535:D778))</f>
        <v/>
      </c>
      <c r="B778" s="17"/>
      <c r="C778" s="97" t="s">
        <v>1172</v>
      </c>
      <c r="D778" s="54"/>
      <c r="E778" s="34">
        <f>E303+E533+E777</f>
        <v>3501240.2659999998</v>
      </c>
      <c r="F778" s="34">
        <f>F303+F533+F777</f>
        <v>2452653.81</v>
      </c>
      <c r="G778" s="34">
        <f>G303+G533+G777</f>
        <v>266851.94000000006</v>
      </c>
      <c r="H778" s="31"/>
      <c r="I778" s="20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42"/>
      <c r="V778" s="34">
        <f>V303+V533+V777</f>
        <v>6788583350.4231033</v>
      </c>
      <c r="W778" s="34"/>
      <c r="X778" s="34">
        <f>X303+X533+X777</f>
        <v>83623307.520000011</v>
      </c>
      <c r="Y778" s="34">
        <f>Y303+Y533+Y777</f>
        <v>74846648.180000007</v>
      </c>
      <c r="Z778" s="34"/>
      <c r="AA778" s="34">
        <f>AA303+AA533+AA777</f>
        <v>6630113394.7231035</v>
      </c>
    </row>
    <row r="779" spans="1:27" ht="62.25" customHeight="1" x14ac:dyDescent="0.65">
      <c r="S779" s="83"/>
      <c r="T779" s="10"/>
    </row>
    <row r="780" spans="1:27" ht="49.5" customHeight="1" x14ac:dyDescent="0.65">
      <c r="S780" s="10"/>
      <c r="T780" s="10"/>
    </row>
    <row r="781" spans="1:27" ht="49.5" customHeight="1" x14ac:dyDescent="0.65"/>
    <row r="782" spans="1:27" ht="49.5" customHeight="1" x14ac:dyDescent="0.65"/>
    <row r="783" spans="1:27" ht="49.5" customHeight="1" x14ac:dyDescent="0.65"/>
    <row r="784" spans="1:27" ht="49.5" customHeight="1" x14ac:dyDescent="0.65"/>
    <row r="785" ht="49.5" customHeight="1" x14ac:dyDescent="0.65"/>
    <row r="786" ht="49.5" customHeight="1" x14ac:dyDescent="0.65"/>
    <row r="787" ht="49.5" customHeight="1" x14ac:dyDescent="0.65"/>
    <row r="788" ht="49.5" customHeight="1" x14ac:dyDescent="0.65"/>
    <row r="789" ht="49.5" customHeight="1" x14ac:dyDescent="0.65"/>
    <row r="790" ht="49.5" customHeight="1" x14ac:dyDescent="0.65"/>
    <row r="791" ht="49.5" customHeight="1" x14ac:dyDescent="0.65"/>
    <row r="792" ht="49.5" customHeight="1" x14ac:dyDescent="0.65"/>
    <row r="793" ht="49.5" customHeight="1" x14ac:dyDescent="0.65"/>
    <row r="794" ht="49.5" customHeight="1" x14ac:dyDescent="0.65"/>
    <row r="795" ht="49.5" customHeight="1" x14ac:dyDescent="0.65"/>
    <row r="796" ht="49.5" customHeight="1" x14ac:dyDescent="0.65"/>
    <row r="797" ht="49.5" customHeight="1" x14ac:dyDescent="0.65"/>
    <row r="798" ht="49.5" customHeight="1" x14ac:dyDescent="0.65"/>
    <row r="799" ht="49.5" customHeight="1" x14ac:dyDescent="0.65"/>
    <row r="800" ht="49.5" customHeight="1" x14ac:dyDescent="0.65"/>
    <row r="801" ht="49.5" customHeight="1" x14ac:dyDescent="0.65"/>
    <row r="802" ht="49.5" customHeight="1" x14ac:dyDescent="0.65"/>
    <row r="803" ht="49.5" customHeight="1" x14ac:dyDescent="0.65"/>
    <row r="804" ht="49.5" customHeight="1" x14ac:dyDescent="0.65"/>
    <row r="805" ht="49.5" customHeight="1" x14ac:dyDescent="0.65"/>
    <row r="806" ht="49.5" customHeight="1" x14ac:dyDescent="0.65"/>
    <row r="807" ht="49.5" customHeight="1" x14ac:dyDescent="0.65"/>
    <row r="808" ht="49.5" customHeight="1" x14ac:dyDescent="0.65"/>
    <row r="809" ht="49.5" customHeight="1" x14ac:dyDescent="0.65"/>
    <row r="810" ht="49.5" customHeight="1" x14ac:dyDescent="0.65"/>
    <row r="811" ht="49.5" customHeight="1" x14ac:dyDescent="0.65"/>
    <row r="812" ht="49.5" customHeight="1" x14ac:dyDescent="0.65"/>
    <row r="813" ht="49.5" customHeight="1" x14ac:dyDescent="0.65"/>
    <row r="814" ht="49.5" customHeight="1" x14ac:dyDescent="0.65"/>
    <row r="815" ht="49.5" customHeight="1" x14ac:dyDescent="0.65"/>
    <row r="816" ht="49.5" customHeight="1" x14ac:dyDescent="0.65"/>
    <row r="817" ht="49.5" customHeight="1" x14ac:dyDescent="0.65"/>
    <row r="818" ht="49.5" customHeight="1" x14ac:dyDescent="0.65"/>
    <row r="819" ht="49.5" customHeight="1" x14ac:dyDescent="0.65"/>
    <row r="820" ht="49.5" customHeight="1" x14ac:dyDescent="0.65"/>
    <row r="821" ht="49.5" customHeight="1" x14ac:dyDescent="0.65"/>
    <row r="822" ht="49.5" customHeight="1" x14ac:dyDescent="0.65"/>
    <row r="823" ht="49.5" customHeight="1" x14ac:dyDescent="0.65"/>
    <row r="824" ht="49.5" customHeight="1" x14ac:dyDescent="0.65"/>
    <row r="825" ht="49.5" customHeight="1" x14ac:dyDescent="0.65"/>
    <row r="826" ht="49.5" customHeight="1" x14ac:dyDescent="0.65"/>
    <row r="827" ht="49.5" customHeight="1" x14ac:dyDescent="0.65"/>
    <row r="828" ht="49.5" customHeight="1" x14ac:dyDescent="0.65"/>
    <row r="829" ht="49.5" customHeight="1" x14ac:dyDescent="0.65"/>
    <row r="830" ht="49.5" customHeight="1" x14ac:dyDescent="0.65"/>
    <row r="831" ht="49.5" customHeight="1" x14ac:dyDescent="0.65"/>
    <row r="832" ht="49.5" customHeight="1" x14ac:dyDescent="0.65"/>
    <row r="833" ht="49.5" customHeight="1" x14ac:dyDescent="0.65"/>
    <row r="834" ht="49.5" customHeight="1" x14ac:dyDescent="0.65"/>
    <row r="835" ht="49.5" customHeight="1" x14ac:dyDescent="0.65"/>
    <row r="836" ht="49.5" customHeight="1" x14ac:dyDescent="0.65"/>
    <row r="837" ht="49.5" customHeight="1" x14ac:dyDescent="0.65"/>
    <row r="838" ht="49.5" customHeight="1" x14ac:dyDescent="0.65"/>
    <row r="839" ht="49.5" customHeight="1" x14ac:dyDescent="0.65"/>
    <row r="840" ht="49.5" customHeight="1" x14ac:dyDescent="0.65"/>
    <row r="841" ht="49.5" customHeight="1" x14ac:dyDescent="0.65"/>
    <row r="842" ht="49.5" customHeight="1" x14ac:dyDescent="0.65"/>
    <row r="843" ht="49.5" customHeight="1" x14ac:dyDescent="0.65"/>
    <row r="844" ht="49.5" customHeight="1" x14ac:dyDescent="0.65"/>
    <row r="845" ht="49.5" customHeight="1" x14ac:dyDescent="0.65"/>
    <row r="846" ht="49.5" customHeight="1" x14ac:dyDescent="0.65"/>
    <row r="847" ht="49.5" customHeight="1" x14ac:dyDescent="0.65"/>
    <row r="848" ht="49.5" customHeight="1" x14ac:dyDescent="0.65"/>
    <row r="849" ht="49.5" customHeight="1" x14ac:dyDescent="0.65"/>
    <row r="850" ht="49.5" customHeight="1" x14ac:dyDescent="0.65"/>
    <row r="851" ht="49.5" customHeight="1" x14ac:dyDescent="0.65"/>
    <row r="852" ht="49.5" customHeight="1" x14ac:dyDescent="0.65"/>
    <row r="853" ht="49.5" customHeight="1" x14ac:dyDescent="0.65"/>
    <row r="854" ht="49.5" customHeight="1" x14ac:dyDescent="0.65"/>
    <row r="855" ht="49.5" customHeight="1" x14ac:dyDescent="0.65"/>
    <row r="856" ht="49.5" customHeight="1" x14ac:dyDescent="0.65"/>
    <row r="857" ht="49.5" customHeight="1" x14ac:dyDescent="0.65"/>
    <row r="858" ht="49.5" customHeight="1" x14ac:dyDescent="0.65"/>
    <row r="859" ht="49.5" customHeight="1" x14ac:dyDescent="0.65"/>
    <row r="860" ht="49.5" customHeight="1" x14ac:dyDescent="0.65"/>
    <row r="861" ht="49.5" customHeight="1" x14ac:dyDescent="0.65"/>
    <row r="862" ht="49.5" customHeight="1" x14ac:dyDescent="0.65"/>
    <row r="863" ht="49.5" customHeight="1" x14ac:dyDescent="0.65"/>
    <row r="864" ht="49.5" customHeight="1" x14ac:dyDescent="0.65"/>
    <row r="865" ht="49.5" customHeight="1" x14ac:dyDescent="0.65"/>
    <row r="866" ht="49.5" customHeight="1" x14ac:dyDescent="0.65"/>
    <row r="867" ht="49.5" customHeight="1" x14ac:dyDescent="0.65"/>
    <row r="868" ht="49.5" customHeight="1" x14ac:dyDescent="0.65"/>
    <row r="869" ht="49.5" customHeight="1" x14ac:dyDescent="0.65"/>
    <row r="870" ht="49.5" customHeight="1" x14ac:dyDescent="0.65"/>
    <row r="871" ht="49.5" customHeight="1" x14ac:dyDescent="0.65"/>
    <row r="872" ht="49.5" customHeight="1" x14ac:dyDescent="0.65"/>
    <row r="873" ht="49.5" customHeight="1" x14ac:dyDescent="0.65"/>
    <row r="874" ht="49.5" customHeight="1" x14ac:dyDescent="0.65"/>
    <row r="875" ht="49.5" customHeight="1" x14ac:dyDescent="0.65"/>
    <row r="876" ht="49.5" customHeight="1" x14ac:dyDescent="0.65"/>
    <row r="877" ht="49.5" customHeight="1" x14ac:dyDescent="0.65"/>
    <row r="878" ht="49.5" customHeight="1" x14ac:dyDescent="0.65"/>
    <row r="879" ht="49.5" customHeight="1" x14ac:dyDescent="0.65"/>
    <row r="880" ht="49.5" customHeight="1" x14ac:dyDescent="0.65"/>
    <row r="881" ht="49.5" customHeight="1" x14ac:dyDescent="0.65"/>
    <row r="882" ht="49.5" customHeight="1" x14ac:dyDescent="0.65"/>
    <row r="883" ht="49.5" customHeight="1" x14ac:dyDescent="0.65"/>
    <row r="884" ht="49.5" customHeight="1" x14ac:dyDescent="0.65"/>
    <row r="885" ht="49.5" customHeight="1" x14ac:dyDescent="0.65"/>
    <row r="886" ht="49.5" customHeight="1" x14ac:dyDescent="0.65"/>
    <row r="887" ht="49.5" customHeight="1" x14ac:dyDescent="0.65"/>
    <row r="888" ht="49.5" customHeight="1" x14ac:dyDescent="0.65"/>
    <row r="889" ht="49.5" customHeight="1" x14ac:dyDescent="0.65"/>
    <row r="890" ht="49.5" customHeight="1" x14ac:dyDescent="0.65"/>
    <row r="891" ht="49.5" customHeight="1" x14ac:dyDescent="0.65"/>
    <row r="892" ht="49.5" customHeight="1" x14ac:dyDescent="0.65"/>
    <row r="893" ht="49.5" customHeight="1" x14ac:dyDescent="0.65"/>
    <row r="894" ht="49.5" customHeight="1" x14ac:dyDescent="0.65"/>
    <row r="895" ht="49.5" customHeight="1" x14ac:dyDescent="0.65"/>
    <row r="896" ht="49.5" customHeight="1" x14ac:dyDescent="0.65"/>
    <row r="897" ht="49.5" customHeight="1" x14ac:dyDescent="0.65"/>
    <row r="898" ht="49.5" customHeight="1" x14ac:dyDescent="0.65"/>
    <row r="899" ht="49.5" customHeight="1" x14ac:dyDescent="0.65"/>
    <row r="900" ht="49.5" customHeight="1" x14ac:dyDescent="0.65"/>
    <row r="901" ht="49.5" customHeight="1" x14ac:dyDescent="0.65"/>
    <row r="902" ht="49.5" customHeight="1" x14ac:dyDescent="0.65"/>
    <row r="903" ht="49.5" customHeight="1" x14ac:dyDescent="0.65"/>
    <row r="904" ht="49.5" customHeight="1" x14ac:dyDescent="0.65"/>
    <row r="905" ht="49.5" customHeight="1" x14ac:dyDescent="0.65"/>
    <row r="906" ht="49.5" customHeight="1" x14ac:dyDescent="0.65"/>
    <row r="907" ht="49.5" customHeight="1" x14ac:dyDescent="0.65"/>
    <row r="908" ht="49.5" customHeight="1" x14ac:dyDescent="0.65"/>
    <row r="909" ht="49.5" customHeight="1" x14ac:dyDescent="0.65"/>
    <row r="910" ht="49.5" customHeight="1" x14ac:dyDescent="0.65"/>
    <row r="911" ht="49.5" customHeight="1" x14ac:dyDescent="0.65"/>
    <row r="912" ht="49.5" customHeight="1" x14ac:dyDescent="0.65"/>
    <row r="913" ht="49.5" customHeight="1" x14ac:dyDescent="0.65"/>
    <row r="914" ht="49.5" customHeight="1" x14ac:dyDescent="0.65"/>
    <row r="915" ht="49.5" customHeight="1" x14ac:dyDescent="0.65"/>
    <row r="916" ht="49.5" customHeight="1" x14ac:dyDescent="0.65"/>
    <row r="917" ht="49.5" customHeight="1" x14ac:dyDescent="0.65"/>
    <row r="918" ht="49.5" customHeight="1" x14ac:dyDescent="0.65"/>
    <row r="919" ht="49.5" customHeight="1" x14ac:dyDescent="0.65"/>
    <row r="920" ht="49.5" customHeight="1" x14ac:dyDescent="0.65"/>
    <row r="921" ht="49.5" customHeight="1" x14ac:dyDescent="0.65"/>
    <row r="922" ht="49.5" customHeight="1" x14ac:dyDescent="0.65"/>
    <row r="923" ht="49.5" customHeight="1" x14ac:dyDescent="0.65"/>
    <row r="924" ht="49.5" customHeight="1" x14ac:dyDescent="0.65"/>
    <row r="925" ht="49.5" customHeight="1" x14ac:dyDescent="0.65"/>
    <row r="926" ht="49.5" customHeight="1" x14ac:dyDescent="0.65"/>
    <row r="927" ht="49.5" customHeight="1" x14ac:dyDescent="0.65"/>
    <row r="928" ht="49.5" customHeight="1" x14ac:dyDescent="0.65"/>
    <row r="929" ht="49.5" customHeight="1" x14ac:dyDescent="0.65"/>
    <row r="930" ht="49.5" customHeight="1" x14ac:dyDescent="0.65"/>
    <row r="931" ht="49.5" customHeight="1" x14ac:dyDescent="0.65"/>
    <row r="932" ht="49.5" customHeight="1" x14ac:dyDescent="0.65"/>
    <row r="933" ht="49.5" customHeight="1" x14ac:dyDescent="0.65"/>
    <row r="934" ht="49.5" customHeight="1" x14ac:dyDescent="0.65"/>
    <row r="935" ht="49.5" customHeight="1" x14ac:dyDescent="0.65"/>
    <row r="936" ht="49.5" customHeight="1" x14ac:dyDescent="0.65"/>
    <row r="937" ht="49.5" customHeight="1" x14ac:dyDescent="0.65"/>
    <row r="938" ht="49.5" customHeight="1" x14ac:dyDescent="0.65"/>
    <row r="939" ht="49.5" customHeight="1" x14ac:dyDescent="0.65"/>
    <row r="940" ht="49.5" customHeight="1" x14ac:dyDescent="0.65"/>
    <row r="941" ht="49.5" customHeight="1" x14ac:dyDescent="0.65"/>
    <row r="942" ht="49.5" customHeight="1" x14ac:dyDescent="0.65"/>
    <row r="943" ht="49.5" customHeight="1" x14ac:dyDescent="0.65"/>
    <row r="944" ht="49.5" customHeight="1" x14ac:dyDescent="0.65"/>
    <row r="945" ht="49.5" customHeight="1" x14ac:dyDescent="0.65"/>
    <row r="946" ht="49.5" customHeight="1" x14ac:dyDescent="0.65"/>
    <row r="947" ht="49.5" customHeight="1" x14ac:dyDescent="0.65"/>
    <row r="948" ht="49.5" customHeight="1" x14ac:dyDescent="0.65"/>
    <row r="949" ht="49.5" customHeight="1" x14ac:dyDescent="0.65"/>
    <row r="950" ht="49.5" customHeight="1" x14ac:dyDescent="0.65"/>
    <row r="951" ht="49.5" customHeight="1" x14ac:dyDescent="0.65"/>
    <row r="952" ht="49.5" customHeight="1" x14ac:dyDescent="0.65"/>
    <row r="953" ht="49.5" customHeight="1" x14ac:dyDescent="0.65"/>
    <row r="954" ht="49.5" customHeight="1" x14ac:dyDescent="0.65"/>
    <row r="955" ht="49.5" customHeight="1" x14ac:dyDescent="0.65"/>
    <row r="956" ht="49.5" customHeight="1" x14ac:dyDescent="0.65"/>
    <row r="957" ht="49.5" customHeight="1" x14ac:dyDescent="0.65"/>
    <row r="958" ht="49.5" customHeight="1" x14ac:dyDescent="0.65"/>
    <row r="959" ht="49.5" customHeight="1" x14ac:dyDescent="0.65"/>
    <row r="960" ht="49.5" customHeight="1" x14ac:dyDescent="0.65"/>
    <row r="961" ht="49.5" customHeight="1" x14ac:dyDescent="0.65"/>
    <row r="962" ht="49.5" customHeight="1" x14ac:dyDescent="0.65"/>
    <row r="963" ht="49.5" customHeight="1" x14ac:dyDescent="0.65"/>
    <row r="964" ht="49.5" customHeight="1" x14ac:dyDescent="0.65"/>
    <row r="965" ht="49.5" customHeight="1" x14ac:dyDescent="0.65"/>
    <row r="966" ht="49.5" customHeight="1" x14ac:dyDescent="0.65"/>
    <row r="967" ht="49.5" customHeight="1" x14ac:dyDescent="0.65"/>
    <row r="968" ht="49.5" customHeight="1" x14ac:dyDescent="0.65"/>
    <row r="969" ht="49.5" customHeight="1" x14ac:dyDescent="0.65"/>
    <row r="970" ht="49.5" customHeight="1" x14ac:dyDescent="0.65"/>
    <row r="971" ht="49.5" customHeight="1" x14ac:dyDescent="0.65"/>
    <row r="972" ht="49.5" customHeight="1" x14ac:dyDescent="0.65"/>
    <row r="973" ht="49.5" customHeight="1" x14ac:dyDescent="0.65"/>
    <row r="974" ht="49.5" customHeight="1" x14ac:dyDescent="0.65"/>
    <row r="975" ht="49.5" customHeight="1" x14ac:dyDescent="0.65"/>
    <row r="976" ht="49.5" customHeight="1" x14ac:dyDescent="0.65"/>
    <row r="977" ht="49.5" customHeight="1" x14ac:dyDescent="0.65"/>
    <row r="978" ht="49.5" customHeight="1" x14ac:dyDescent="0.65"/>
    <row r="979" ht="49.5" customHeight="1" x14ac:dyDescent="0.65"/>
    <row r="980" ht="49.5" customHeight="1" x14ac:dyDescent="0.65"/>
    <row r="981" ht="49.5" customHeight="1" x14ac:dyDescent="0.65"/>
    <row r="982" ht="49.5" customHeight="1" x14ac:dyDescent="0.65"/>
    <row r="983" ht="49.5" customHeight="1" x14ac:dyDescent="0.65"/>
    <row r="984" ht="49.5" customHeight="1" x14ac:dyDescent="0.65"/>
    <row r="985" ht="49.5" customHeight="1" x14ac:dyDescent="0.65"/>
    <row r="986" ht="49.5" customHeight="1" x14ac:dyDescent="0.65"/>
    <row r="987" ht="49.5" customHeight="1" x14ac:dyDescent="0.65"/>
    <row r="988" ht="49.5" customHeight="1" x14ac:dyDescent="0.65"/>
    <row r="989" ht="49.5" customHeight="1" x14ac:dyDescent="0.65"/>
    <row r="990" ht="49.5" customHeight="1" x14ac:dyDescent="0.65"/>
    <row r="991" ht="49.5" customHeight="1" x14ac:dyDescent="0.65"/>
    <row r="992" ht="49.5" customHeight="1" x14ac:dyDescent="0.65"/>
    <row r="993" ht="49.5" customHeight="1" x14ac:dyDescent="0.65"/>
    <row r="994" ht="49.5" customHeight="1" x14ac:dyDescent="0.65"/>
    <row r="995" ht="49.5" customHeight="1" x14ac:dyDescent="0.65"/>
    <row r="996" ht="49.5" customHeight="1" x14ac:dyDescent="0.65"/>
    <row r="997" ht="49.5" customHeight="1" x14ac:dyDescent="0.65"/>
    <row r="998" ht="49.5" customHeight="1" x14ac:dyDescent="0.65"/>
    <row r="999" ht="49.5" customHeight="1" x14ac:dyDescent="0.65"/>
    <row r="1000" ht="49.5" customHeight="1" x14ac:dyDescent="0.65"/>
    <row r="1001" ht="49.5" customHeight="1" x14ac:dyDescent="0.65"/>
    <row r="1002" ht="49.5" customHeight="1" x14ac:dyDescent="0.65"/>
    <row r="1003" ht="49.5" customHeight="1" x14ac:dyDescent="0.65"/>
    <row r="1004" ht="49.5" customHeight="1" x14ac:dyDescent="0.65"/>
    <row r="1005" ht="49.5" customHeight="1" x14ac:dyDescent="0.65"/>
    <row r="1006" ht="49.5" customHeight="1" x14ac:dyDescent="0.65"/>
    <row r="1007" ht="49.5" customHeight="1" x14ac:dyDescent="0.65"/>
    <row r="1008" ht="49.5" customHeight="1" x14ac:dyDescent="0.65"/>
    <row r="1009" ht="49.5" customHeight="1" x14ac:dyDescent="0.65"/>
    <row r="1010" ht="49.5" customHeight="1" x14ac:dyDescent="0.65"/>
    <row r="1011" ht="49.5" customHeight="1" x14ac:dyDescent="0.65"/>
    <row r="1012" ht="49.5" customHeight="1" x14ac:dyDescent="0.65"/>
    <row r="1013" ht="49.5" customHeight="1" x14ac:dyDescent="0.65"/>
    <row r="1014" ht="49.5" customHeight="1" x14ac:dyDescent="0.65"/>
    <row r="1015" ht="49.5" customHeight="1" x14ac:dyDescent="0.65"/>
    <row r="1016" ht="49.5" customHeight="1" x14ac:dyDescent="0.65"/>
    <row r="1017" ht="49.5" customHeight="1" x14ac:dyDescent="0.65"/>
    <row r="1018" ht="49.5" customHeight="1" x14ac:dyDescent="0.65"/>
    <row r="1019" ht="49.5" customHeight="1" x14ac:dyDescent="0.65"/>
    <row r="1020" ht="49.5" customHeight="1" x14ac:dyDescent="0.65"/>
    <row r="1021" ht="49.5" customHeight="1" x14ac:dyDescent="0.65"/>
    <row r="1022" ht="49.5" customHeight="1" x14ac:dyDescent="0.65"/>
    <row r="1023" ht="49.5" customHeight="1" x14ac:dyDescent="0.65"/>
    <row r="1024" ht="49.5" customHeight="1" x14ac:dyDescent="0.65"/>
    <row r="1025" ht="49.5" customHeight="1" x14ac:dyDescent="0.65"/>
    <row r="1026" ht="49.5" customHeight="1" x14ac:dyDescent="0.65"/>
    <row r="1027" ht="49.5" customHeight="1" x14ac:dyDescent="0.65"/>
    <row r="1028" ht="49.5" customHeight="1" x14ac:dyDescent="0.65"/>
    <row r="1029" ht="49.5" customHeight="1" x14ac:dyDescent="0.65"/>
    <row r="1030" ht="49.5" customHeight="1" x14ac:dyDescent="0.65"/>
    <row r="1031" ht="49.5" customHeight="1" x14ac:dyDescent="0.65"/>
    <row r="1032" ht="49.5" customHeight="1" x14ac:dyDescent="0.65"/>
    <row r="1033" ht="49.5" customHeight="1" x14ac:dyDescent="0.65"/>
    <row r="1034" ht="49.5" customHeight="1" x14ac:dyDescent="0.65"/>
    <row r="1035" ht="49.5" customHeight="1" x14ac:dyDescent="0.65"/>
    <row r="1036" ht="49.5" customHeight="1" x14ac:dyDescent="0.65"/>
    <row r="1037" ht="49.5" customHeight="1" x14ac:dyDescent="0.65"/>
    <row r="1038" ht="49.5" customHeight="1" x14ac:dyDescent="0.65"/>
    <row r="1039" ht="49.5" customHeight="1" x14ac:dyDescent="0.65"/>
    <row r="1040" ht="49.5" customHeight="1" x14ac:dyDescent="0.65"/>
    <row r="1041" ht="49.5" customHeight="1" x14ac:dyDescent="0.65"/>
    <row r="1042" ht="49.5" customHeight="1" x14ac:dyDescent="0.65"/>
    <row r="1043" ht="49.5" customHeight="1" x14ac:dyDescent="0.65"/>
    <row r="1044" ht="49.5" customHeight="1" x14ac:dyDescent="0.65"/>
    <row r="1045" ht="49.5" customHeight="1" x14ac:dyDescent="0.65"/>
    <row r="1046" ht="49.5" customHeight="1" x14ac:dyDescent="0.65"/>
    <row r="1047" ht="49.5" customHeight="1" x14ac:dyDescent="0.65"/>
    <row r="1048" ht="49.5" customHeight="1" x14ac:dyDescent="0.65"/>
    <row r="1049" ht="49.5" customHeight="1" x14ac:dyDescent="0.65"/>
    <row r="1050" ht="49.5" customHeight="1" x14ac:dyDescent="0.65"/>
    <row r="1051" ht="49.5" customHeight="1" x14ac:dyDescent="0.65"/>
    <row r="1052" ht="49.5" customHeight="1" x14ac:dyDescent="0.65"/>
    <row r="1053" ht="49.5" customHeight="1" x14ac:dyDescent="0.65"/>
    <row r="1054" ht="49.5" customHeight="1" x14ac:dyDescent="0.65"/>
    <row r="1055" ht="49.5" customHeight="1" x14ac:dyDescent="0.65"/>
    <row r="1056" ht="49.5" customHeight="1" x14ac:dyDescent="0.65"/>
    <row r="1057" ht="49.5" customHeight="1" x14ac:dyDescent="0.65"/>
    <row r="1058" ht="49.5" customHeight="1" x14ac:dyDescent="0.65"/>
    <row r="1059" ht="49.5" customHeight="1" x14ac:dyDescent="0.65"/>
    <row r="1060" ht="49.5" customHeight="1" x14ac:dyDescent="0.65"/>
    <row r="1061" ht="49.5" customHeight="1" x14ac:dyDescent="0.65"/>
    <row r="1062" ht="49.5" customHeight="1" x14ac:dyDescent="0.65"/>
    <row r="1063" ht="49.5" customHeight="1" x14ac:dyDescent="0.65"/>
    <row r="1064" ht="49.5" customHeight="1" x14ac:dyDescent="0.65"/>
    <row r="1065" ht="49.5" customHeight="1" x14ac:dyDescent="0.65"/>
    <row r="1066" ht="49.5" customHeight="1" x14ac:dyDescent="0.65"/>
    <row r="1067" ht="49.5" customHeight="1" x14ac:dyDescent="0.65"/>
    <row r="1068" ht="49.5" customHeight="1" x14ac:dyDescent="0.65"/>
    <row r="1069" ht="49.5" customHeight="1" x14ac:dyDescent="0.65"/>
    <row r="1070" ht="49.5" customHeight="1" x14ac:dyDescent="0.65"/>
    <row r="1071" ht="49.5" customHeight="1" x14ac:dyDescent="0.65"/>
    <row r="1072" ht="49.5" customHeight="1" x14ac:dyDescent="0.65"/>
    <row r="1073" ht="49.5" customHeight="1" x14ac:dyDescent="0.65"/>
    <row r="1074" ht="49.5" customHeight="1" x14ac:dyDescent="0.65"/>
    <row r="1075" ht="49.5" customHeight="1" x14ac:dyDescent="0.65"/>
    <row r="1076" ht="49.5" customHeight="1" x14ac:dyDescent="0.65"/>
    <row r="1077" ht="49.5" customHeight="1" x14ac:dyDescent="0.65"/>
    <row r="1078" ht="49.5" customHeight="1" x14ac:dyDescent="0.65"/>
    <row r="1079" ht="49.5" customHeight="1" x14ac:dyDescent="0.65"/>
    <row r="1080" ht="49.5" customHeight="1" x14ac:dyDescent="0.65"/>
    <row r="1081" ht="49.5" customHeight="1" x14ac:dyDescent="0.65"/>
    <row r="1082" ht="49.5" customHeight="1" x14ac:dyDescent="0.65"/>
    <row r="1083" ht="49.5" customHeight="1" x14ac:dyDescent="0.65"/>
    <row r="1084" ht="49.5" customHeight="1" x14ac:dyDescent="0.65"/>
    <row r="1085" ht="49.5" customHeight="1" x14ac:dyDescent="0.65"/>
    <row r="1086" ht="49.5" customHeight="1" x14ac:dyDescent="0.65"/>
    <row r="1087" ht="49.5" customHeight="1" x14ac:dyDescent="0.65"/>
    <row r="1088" ht="49.5" customHeight="1" x14ac:dyDescent="0.65"/>
    <row r="1089" ht="49.5" customHeight="1" x14ac:dyDescent="0.65"/>
    <row r="1090" ht="49.5" customHeight="1" x14ac:dyDescent="0.65"/>
    <row r="1091" ht="49.5" customHeight="1" x14ac:dyDescent="0.65"/>
    <row r="1092" ht="49.5" customHeight="1" x14ac:dyDescent="0.65"/>
    <row r="1093" ht="49.5" customHeight="1" x14ac:dyDescent="0.65"/>
    <row r="1094" ht="49.5" customHeight="1" x14ac:dyDescent="0.65"/>
    <row r="1095" ht="49.5" customHeight="1" x14ac:dyDescent="0.65"/>
    <row r="1096" ht="49.5" customHeight="1" x14ac:dyDescent="0.65"/>
    <row r="1097" ht="49.5" customHeight="1" x14ac:dyDescent="0.65"/>
    <row r="1098" ht="49.5" customHeight="1" x14ac:dyDescent="0.65"/>
    <row r="1099" ht="49.5" customHeight="1" x14ac:dyDescent="0.65"/>
    <row r="1100" ht="49.5" customHeight="1" x14ac:dyDescent="0.65"/>
    <row r="1101" ht="49.5" customHeight="1" x14ac:dyDescent="0.65"/>
    <row r="1102" ht="49.5" customHeight="1" x14ac:dyDescent="0.65"/>
    <row r="1103" ht="49.5" customHeight="1" x14ac:dyDescent="0.65"/>
    <row r="1104" ht="49.5" customHeight="1" x14ac:dyDescent="0.65"/>
    <row r="1105" ht="49.5" customHeight="1" x14ac:dyDescent="0.65"/>
    <row r="1106" ht="49.5" customHeight="1" x14ac:dyDescent="0.65"/>
    <row r="1107" ht="49.5" customHeight="1" x14ac:dyDescent="0.65"/>
    <row r="1108" ht="49.5" customHeight="1" x14ac:dyDescent="0.65"/>
    <row r="1109" ht="49.5" customHeight="1" x14ac:dyDescent="0.65"/>
    <row r="1110" ht="49.5" customHeight="1" x14ac:dyDescent="0.65"/>
    <row r="1111" ht="49.5" customHeight="1" x14ac:dyDescent="0.65"/>
    <row r="1112" ht="49.5" customHeight="1" x14ac:dyDescent="0.65"/>
    <row r="1113" ht="49.5" customHeight="1" x14ac:dyDescent="0.65"/>
    <row r="1114" ht="49.5" customHeight="1" x14ac:dyDescent="0.65"/>
    <row r="1115" ht="49.5" customHeight="1" x14ac:dyDescent="0.65"/>
    <row r="1116" ht="49.5" customHeight="1" x14ac:dyDescent="0.65"/>
    <row r="1117" ht="49.5" customHeight="1" x14ac:dyDescent="0.65"/>
    <row r="1118" ht="49.5" customHeight="1" x14ac:dyDescent="0.65"/>
    <row r="1119" ht="49.5" customHeight="1" x14ac:dyDescent="0.65"/>
    <row r="1120" ht="49.5" customHeight="1" x14ac:dyDescent="0.65"/>
    <row r="1121" ht="49.5" customHeight="1" x14ac:dyDescent="0.65"/>
    <row r="1122" ht="49.5" customHeight="1" x14ac:dyDescent="0.65"/>
    <row r="1123" ht="49.5" customHeight="1" x14ac:dyDescent="0.65"/>
    <row r="1124" ht="49.5" customHeight="1" x14ac:dyDescent="0.65"/>
    <row r="1125" ht="49.5" customHeight="1" x14ac:dyDescent="0.65"/>
    <row r="1126" ht="49.5" customHeight="1" x14ac:dyDescent="0.65"/>
    <row r="1127" ht="49.5" customHeight="1" x14ac:dyDescent="0.65"/>
    <row r="1128" ht="49.5" customHeight="1" x14ac:dyDescent="0.65"/>
    <row r="1129" ht="49.5" customHeight="1" x14ac:dyDescent="0.65"/>
    <row r="1130" ht="49.5" customHeight="1" x14ac:dyDescent="0.65"/>
    <row r="1131" ht="49.5" customHeight="1" x14ac:dyDescent="0.65"/>
    <row r="1132" ht="49.5" customHeight="1" x14ac:dyDescent="0.65"/>
    <row r="1133" ht="49.5" customHeight="1" x14ac:dyDescent="0.65"/>
    <row r="1134" ht="49.5" customHeight="1" x14ac:dyDescent="0.65"/>
    <row r="1135" ht="49.5" customHeight="1" x14ac:dyDescent="0.65"/>
    <row r="1136" ht="49.5" customHeight="1" x14ac:dyDescent="0.65"/>
    <row r="1137" ht="49.5" customHeight="1" x14ac:dyDescent="0.65"/>
    <row r="1138" ht="49.5" customHeight="1" x14ac:dyDescent="0.65"/>
    <row r="1139" ht="49.5" customHeight="1" x14ac:dyDescent="0.65"/>
    <row r="1140" ht="49.5" customHeight="1" x14ac:dyDescent="0.65"/>
    <row r="1141" ht="49.5" customHeight="1" x14ac:dyDescent="0.65"/>
    <row r="1142" ht="49.5" customHeight="1" x14ac:dyDescent="0.65"/>
    <row r="1143" ht="49.5" customHeight="1" x14ac:dyDescent="0.65"/>
    <row r="1144" ht="49.5" customHeight="1" x14ac:dyDescent="0.65"/>
    <row r="1145" ht="49.5" customHeight="1" x14ac:dyDescent="0.65"/>
    <row r="1146" ht="49.5" customHeight="1" x14ac:dyDescent="0.65"/>
    <row r="1147" ht="49.5" customHeight="1" x14ac:dyDescent="0.65"/>
    <row r="1148" ht="49.5" customHeight="1" x14ac:dyDescent="0.65"/>
    <row r="1149" ht="49.5" customHeight="1" x14ac:dyDescent="0.65"/>
    <row r="1150" ht="49.5" customHeight="1" x14ac:dyDescent="0.65"/>
    <row r="1151" ht="49.5" customHeight="1" x14ac:dyDescent="0.65"/>
    <row r="1152" ht="49.5" customHeight="1" x14ac:dyDescent="0.65"/>
    <row r="1153" ht="49.5" customHeight="1" x14ac:dyDescent="0.65"/>
    <row r="1154" ht="49.5" customHeight="1" x14ac:dyDescent="0.65"/>
    <row r="1155" ht="49.5" customHeight="1" x14ac:dyDescent="0.65"/>
    <row r="1156" ht="49.5" customHeight="1" x14ac:dyDescent="0.65"/>
    <row r="1157" ht="49.5" customHeight="1" x14ac:dyDescent="0.65"/>
    <row r="1158" ht="49.5" customHeight="1" x14ac:dyDescent="0.65"/>
    <row r="1159" ht="49.5" customHeight="1" x14ac:dyDescent="0.65"/>
    <row r="1160" ht="49.5" customHeight="1" x14ac:dyDescent="0.65"/>
    <row r="1161" ht="49.5" customHeight="1" x14ac:dyDescent="0.65"/>
    <row r="1162" ht="49.5" customHeight="1" x14ac:dyDescent="0.65"/>
    <row r="1163" ht="49.5" customHeight="1" x14ac:dyDescent="0.65"/>
    <row r="1164" ht="49.5" customHeight="1" x14ac:dyDescent="0.65"/>
    <row r="1165" ht="49.5" customHeight="1" x14ac:dyDescent="0.65"/>
    <row r="1166" ht="49.5" customHeight="1" x14ac:dyDescent="0.65"/>
    <row r="1167" ht="49.5" customHeight="1" x14ac:dyDescent="0.65"/>
    <row r="1168" ht="49.5" customHeight="1" x14ac:dyDescent="0.65"/>
    <row r="1169" ht="49.5" customHeight="1" x14ac:dyDescent="0.65"/>
    <row r="1170" ht="49.5" customHeight="1" x14ac:dyDescent="0.65"/>
    <row r="1171" ht="49.5" customHeight="1" x14ac:dyDescent="0.65"/>
    <row r="1172" ht="49.5" customHeight="1" x14ac:dyDescent="0.65"/>
    <row r="1173" ht="49.5" customHeight="1" x14ac:dyDescent="0.65"/>
    <row r="1174" ht="49.5" customHeight="1" x14ac:dyDescent="0.65"/>
    <row r="1175" ht="49.5" customHeight="1" x14ac:dyDescent="0.65"/>
    <row r="1176" ht="49.5" customHeight="1" x14ac:dyDescent="0.65"/>
    <row r="1177" ht="49.5" customHeight="1" x14ac:dyDescent="0.65"/>
    <row r="1178" ht="49.5" customHeight="1" x14ac:dyDescent="0.65"/>
    <row r="1179" ht="49.5" customHeight="1" x14ac:dyDescent="0.65"/>
    <row r="1180" ht="49.5" customHeight="1" x14ac:dyDescent="0.65"/>
    <row r="1181" ht="49.5" customHeight="1" x14ac:dyDescent="0.65"/>
    <row r="1182" ht="49.5" customHeight="1" x14ac:dyDescent="0.65"/>
    <row r="1183" ht="49.5" customHeight="1" x14ac:dyDescent="0.65"/>
    <row r="1184" ht="49.5" customHeight="1" x14ac:dyDescent="0.65"/>
    <row r="1185" ht="49.5" customHeight="1" x14ac:dyDescent="0.65"/>
    <row r="1186" ht="49.5" customHeight="1" x14ac:dyDescent="0.65"/>
    <row r="1187" ht="49.5" customHeight="1" x14ac:dyDescent="0.65"/>
    <row r="1188" ht="49.5" customHeight="1" x14ac:dyDescent="0.65"/>
    <row r="1189" ht="49.5" customHeight="1" x14ac:dyDescent="0.65"/>
    <row r="1190" ht="49.5" customHeight="1" x14ac:dyDescent="0.65"/>
    <row r="1191" ht="49.5" customHeight="1" x14ac:dyDescent="0.65"/>
    <row r="1192" ht="49.5" customHeight="1" x14ac:dyDescent="0.65"/>
    <row r="1193" ht="49.5" customHeight="1" x14ac:dyDescent="0.65"/>
    <row r="1194" ht="49.5" customHeight="1" x14ac:dyDescent="0.65"/>
    <row r="1195" ht="49.5" customHeight="1" x14ac:dyDescent="0.65"/>
    <row r="1196" ht="49.5" customHeight="1" x14ac:dyDescent="0.65"/>
    <row r="1197" ht="49.5" customHeight="1" x14ac:dyDescent="0.65"/>
    <row r="1198" ht="49.5" customHeight="1" x14ac:dyDescent="0.65"/>
    <row r="1199" ht="49.5" customHeight="1" x14ac:dyDescent="0.65"/>
    <row r="1200" ht="49.5" customHeight="1" x14ac:dyDescent="0.65"/>
    <row r="1201" ht="49.5" customHeight="1" x14ac:dyDescent="0.65"/>
    <row r="1202" ht="49.5" customHeight="1" x14ac:dyDescent="0.65"/>
    <row r="1203" ht="49.5" customHeight="1" x14ac:dyDescent="0.65"/>
    <row r="1204" ht="49.5" customHeight="1" x14ac:dyDescent="0.65"/>
    <row r="1205" ht="49.5" customHeight="1" x14ac:dyDescent="0.65"/>
    <row r="1206" ht="49.5" customHeight="1" x14ac:dyDescent="0.65"/>
    <row r="1207" ht="49.5" customHeight="1" x14ac:dyDescent="0.65"/>
    <row r="1208" ht="49.5" customHeight="1" x14ac:dyDescent="0.65"/>
    <row r="1209" ht="49.5" customHeight="1" x14ac:dyDescent="0.65"/>
    <row r="1210" ht="49.5" customHeight="1" x14ac:dyDescent="0.65"/>
    <row r="1211" ht="49.5" customHeight="1" x14ac:dyDescent="0.65"/>
    <row r="1212" ht="49.5" customHeight="1" x14ac:dyDescent="0.65"/>
    <row r="1213" ht="49.5" customHeight="1" x14ac:dyDescent="0.65"/>
    <row r="1214" ht="49.5" customHeight="1" x14ac:dyDescent="0.65"/>
    <row r="1215" ht="49.5" customHeight="1" x14ac:dyDescent="0.65"/>
    <row r="1216" ht="49.5" customHeight="1" x14ac:dyDescent="0.65"/>
    <row r="1217" ht="49.5" customHeight="1" x14ac:dyDescent="0.65"/>
    <row r="1218" ht="49.5" customHeight="1" x14ac:dyDescent="0.65"/>
    <row r="1219" ht="49.5" customHeight="1" x14ac:dyDescent="0.65"/>
    <row r="1220" ht="49.5" customHeight="1" x14ac:dyDescent="0.65"/>
    <row r="1221" ht="49.5" customHeight="1" x14ac:dyDescent="0.65"/>
    <row r="1222" ht="49.5" customHeight="1" x14ac:dyDescent="0.65"/>
    <row r="1223" ht="49.5" customHeight="1" x14ac:dyDescent="0.65"/>
    <row r="1224" ht="49.5" customHeight="1" x14ac:dyDescent="0.65"/>
    <row r="1225" ht="49.5" customHeight="1" x14ac:dyDescent="0.65"/>
    <row r="1226" ht="49.5" customHeight="1" x14ac:dyDescent="0.65"/>
    <row r="1227" ht="49.5" customHeight="1" x14ac:dyDescent="0.65"/>
    <row r="1228" ht="49.5" customHeight="1" x14ac:dyDescent="0.65"/>
    <row r="1229" ht="49.5" customHeight="1" x14ac:dyDescent="0.65"/>
    <row r="1230" ht="49.5" customHeight="1" x14ac:dyDescent="0.65"/>
    <row r="1231" ht="49.5" customHeight="1" x14ac:dyDescent="0.65"/>
    <row r="1232" ht="49.5" customHeight="1" x14ac:dyDescent="0.65"/>
    <row r="1233" ht="49.5" customHeight="1" x14ac:dyDescent="0.65"/>
    <row r="1234" ht="49.5" customHeight="1" x14ac:dyDescent="0.65"/>
    <row r="1235" ht="49.5" customHeight="1" x14ac:dyDescent="0.65"/>
    <row r="1236" ht="49.5" customHeight="1" x14ac:dyDescent="0.65"/>
    <row r="1237" ht="49.5" customHeight="1" x14ac:dyDescent="0.65"/>
    <row r="1238" ht="49.5" customHeight="1" x14ac:dyDescent="0.65"/>
    <row r="1239" ht="49.5" customHeight="1" x14ac:dyDescent="0.65"/>
    <row r="1240" ht="49.5" customHeight="1" x14ac:dyDescent="0.65"/>
    <row r="1241" ht="49.5" customHeight="1" x14ac:dyDescent="0.65"/>
    <row r="1242" ht="49.5" customHeight="1" x14ac:dyDescent="0.65"/>
    <row r="1243" ht="49.5" customHeight="1" x14ac:dyDescent="0.65"/>
    <row r="1244" ht="49.5" customHeight="1" x14ac:dyDescent="0.65"/>
    <row r="1245" ht="49.5" customHeight="1" x14ac:dyDescent="0.65"/>
    <row r="1246" ht="49.5" customHeight="1" x14ac:dyDescent="0.65"/>
    <row r="1247" ht="49.5" customHeight="1" x14ac:dyDescent="0.65"/>
    <row r="1248" ht="49.5" customHeight="1" x14ac:dyDescent="0.65"/>
    <row r="1249" ht="49.5" customHeight="1" x14ac:dyDescent="0.65"/>
    <row r="1250" ht="49.5" customHeight="1" x14ac:dyDescent="0.65"/>
    <row r="1251" ht="49.5" customHeight="1" x14ac:dyDescent="0.65"/>
    <row r="1252" ht="49.5" customHeight="1" x14ac:dyDescent="0.65"/>
    <row r="1253" ht="49.5" customHeight="1" x14ac:dyDescent="0.65"/>
    <row r="1254" ht="49.5" customHeight="1" x14ac:dyDescent="0.65"/>
    <row r="1255" ht="49.5" customHeight="1" x14ac:dyDescent="0.65"/>
    <row r="1256" ht="49.5" customHeight="1" x14ac:dyDescent="0.65"/>
    <row r="1257" ht="49.5" customHeight="1" x14ac:dyDescent="0.65"/>
    <row r="1258" ht="49.5" customHeight="1" x14ac:dyDescent="0.65"/>
    <row r="1259" ht="49.5" customHeight="1" x14ac:dyDescent="0.65"/>
    <row r="1260" ht="49.5" customHeight="1" x14ac:dyDescent="0.65"/>
    <row r="1261" ht="49.5" customHeight="1" x14ac:dyDescent="0.65"/>
    <row r="1262" ht="49.5" customHeight="1" x14ac:dyDescent="0.65"/>
    <row r="1263" ht="49.5" customHeight="1" x14ac:dyDescent="0.65"/>
    <row r="1264" ht="49.5" customHeight="1" x14ac:dyDescent="0.65"/>
    <row r="1265" ht="49.5" customHeight="1" x14ac:dyDescent="0.65"/>
    <row r="1266" ht="49.5" customHeight="1" x14ac:dyDescent="0.65"/>
    <row r="1267" ht="49.5" customHeight="1" x14ac:dyDescent="0.65"/>
    <row r="1268" ht="49.5" customHeight="1" x14ac:dyDescent="0.65"/>
    <row r="1269" ht="49.5" customHeight="1" x14ac:dyDescent="0.65"/>
    <row r="1270" ht="49.5" customHeight="1" x14ac:dyDescent="0.65"/>
    <row r="1271" ht="49.5" customHeight="1" x14ac:dyDescent="0.65"/>
    <row r="1272" ht="49.5" customHeight="1" x14ac:dyDescent="0.65"/>
    <row r="1273" ht="49.5" customHeight="1" x14ac:dyDescent="0.65"/>
    <row r="1274" ht="49.5" customHeight="1" x14ac:dyDescent="0.65"/>
    <row r="1275" ht="49.5" customHeight="1" x14ac:dyDescent="0.65"/>
    <row r="1276" ht="49.5" customHeight="1" x14ac:dyDescent="0.65"/>
    <row r="1277" ht="49.5" customHeight="1" x14ac:dyDescent="0.65"/>
    <row r="1278" ht="49.5" customHeight="1" x14ac:dyDescent="0.65"/>
    <row r="1279" ht="49.5" customHeight="1" x14ac:dyDescent="0.65"/>
    <row r="1280" ht="49.5" customHeight="1" x14ac:dyDescent="0.65"/>
    <row r="1281" ht="49.5" customHeight="1" x14ac:dyDescent="0.65"/>
    <row r="1282" ht="49.5" customHeight="1" x14ac:dyDescent="0.65"/>
    <row r="1283" ht="49.5" customHeight="1" x14ac:dyDescent="0.65"/>
    <row r="1284" ht="49.5" customHeight="1" x14ac:dyDescent="0.65"/>
    <row r="1285" ht="49.5" customHeight="1" x14ac:dyDescent="0.65"/>
    <row r="1286" ht="49.5" customHeight="1" x14ac:dyDescent="0.65"/>
    <row r="1287" ht="49.5" customHeight="1" x14ac:dyDescent="0.65"/>
    <row r="1288" ht="49.5" customHeight="1" x14ac:dyDescent="0.65"/>
    <row r="1289" ht="49.5" customHeight="1" x14ac:dyDescent="0.65"/>
    <row r="1290" ht="49.5" customHeight="1" x14ac:dyDescent="0.65"/>
    <row r="1291" ht="49.5" customHeight="1" x14ac:dyDescent="0.65"/>
    <row r="1292" ht="49.5" customHeight="1" x14ac:dyDescent="0.65"/>
    <row r="1293" ht="49.5" customHeight="1" x14ac:dyDescent="0.65"/>
    <row r="1294" ht="49.5" customHeight="1" x14ac:dyDescent="0.65"/>
    <row r="1295" ht="49.5" customHeight="1" x14ac:dyDescent="0.65"/>
    <row r="1296" ht="49.5" customHeight="1" x14ac:dyDescent="0.65"/>
    <row r="1297" ht="49.5" customHeight="1" x14ac:dyDescent="0.65"/>
    <row r="1298" ht="49.5" customHeight="1" x14ac:dyDescent="0.65"/>
    <row r="1299" ht="49.5" customHeight="1" x14ac:dyDescent="0.65"/>
    <row r="1300" ht="49.5" customHeight="1" x14ac:dyDescent="0.65"/>
    <row r="1301" ht="49.5" customHeight="1" x14ac:dyDescent="0.65"/>
    <row r="1302" ht="49.5" customHeight="1" x14ac:dyDescent="0.65"/>
    <row r="1303" ht="49.5" customHeight="1" x14ac:dyDescent="0.65"/>
    <row r="1304" ht="49.5" customHeight="1" x14ac:dyDescent="0.65"/>
    <row r="1305" ht="49.5" customHeight="1" x14ac:dyDescent="0.65"/>
    <row r="1306" ht="49.5" customHeight="1" x14ac:dyDescent="0.65"/>
    <row r="1307" ht="49.5" customHeight="1" x14ac:dyDescent="0.65"/>
    <row r="1308" ht="49.5" customHeight="1" x14ac:dyDescent="0.65"/>
    <row r="1309" ht="49.5" customHeight="1" x14ac:dyDescent="0.65"/>
    <row r="1310" ht="49.5" customHeight="1" x14ac:dyDescent="0.65"/>
    <row r="1311" ht="49.5" customHeight="1" x14ac:dyDescent="0.65"/>
    <row r="1312" ht="49.5" customHeight="1" x14ac:dyDescent="0.65"/>
    <row r="1313" ht="49.5" customHeight="1" x14ac:dyDescent="0.65"/>
    <row r="1314" ht="49.5" customHeight="1" x14ac:dyDescent="0.65"/>
    <row r="1315" ht="49.5" customHeight="1" x14ac:dyDescent="0.65"/>
    <row r="1316" ht="49.5" customHeight="1" x14ac:dyDescent="0.65"/>
    <row r="1317" ht="49.5" customHeight="1" x14ac:dyDescent="0.65"/>
    <row r="1318" ht="49.5" customHeight="1" x14ac:dyDescent="0.65"/>
    <row r="1319" ht="49.5" customHeight="1" x14ac:dyDescent="0.65"/>
    <row r="1320" ht="49.5" customHeight="1" x14ac:dyDescent="0.65"/>
    <row r="1321" ht="49.5" customHeight="1" x14ac:dyDescent="0.65"/>
    <row r="1322" ht="49.5" customHeight="1" x14ac:dyDescent="0.65"/>
    <row r="1323" ht="49.5" customHeight="1" x14ac:dyDescent="0.65"/>
    <row r="1324" ht="49.5" customHeight="1" x14ac:dyDescent="0.65"/>
    <row r="1325" ht="49.5" customHeight="1" x14ac:dyDescent="0.65"/>
    <row r="1326" ht="49.5" customHeight="1" x14ac:dyDescent="0.65"/>
    <row r="1327" ht="49.5" customHeight="1" x14ac:dyDescent="0.65"/>
    <row r="1328" ht="49.5" customHeight="1" x14ac:dyDescent="0.65"/>
    <row r="1329" ht="49.5" customHeight="1" x14ac:dyDescent="0.65"/>
    <row r="1330" ht="49.5" customHeight="1" x14ac:dyDescent="0.65"/>
    <row r="1331" ht="49.5" customHeight="1" x14ac:dyDescent="0.65"/>
    <row r="1332" ht="49.5" customHeight="1" x14ac:dyDescent="0.65"/>
    <row r="1333" ht="49.5" customHeight="1" x14ac:dyDescent="0.65"/>
    <row r="1334" ht="49.5" customHeight="1" x14ac:dyDescent="0.65"/>
    <row r="1335" ht="49.5" customHeight="1" x14ac:dyDescent="0.65"/>
    <row r="1336" ht="49.5" customHeight="1" x14ac:dyDescent="0.65"/>
    <row r="1337" ht="49.5" customHeight="1" x14ac:dyDescent="0.65"/>
    <row r="1338" ht="49.5" customHeight="1" x14ac:dyDescent="0.65"/>
    <row r="1339" ht="49.5" customHeight="1" x14ac:dyDescent="0.65"/>
    <row r="1340" ht="49.5" customHeight="1" x14ac:dyDescent="0.65"/>
    <row r="1341" ht="49.5" customHeight="1" x14ac:dyDescent="0.65"/>
    <row r="1342" ht="49.5" customHeight="1" x14ac:dyDescent="0.65"/>
    <row r="1343" ht="49.5" customHeight="1" x14ac:dyDescent="0.65"/>
    <row r="1344" ht="49.5" customHeight="1" x14ac:dyDescent="0.65"/>
    <row r="1345" ht="49.5" customHeight="1" x14ac:dyDescent="0.65"/>
    <row r="1346" ht="49.5" customHeight="1" x14ac:dyDescent="0.65"/>
    <row r="1347" ht="49.5" customHeight="1" x14ac:dyDescent="0.65"/>
    <row r="1348" ht="49.5" customHeight="1" x14ac:dyDescent="0.65"/>
    <row r="1349" ht="49.5" customHeight="1" x14ac:dyDescent="0.65"/>
    <row r="1350" ht="49.5" customHeight="1" x14ac:dyDescent="0.65"/>
    <row r="1351" ht="49.5" customHeight="1" x14ac:dyDescent="0.65"/>
    <row r="1352" ht="49.5" customHeight="1" x14ac:dyDescent="0.65"/>
    <row r="1353" ht="49.5" customHeight="1" x14ac:dyDescent="0.65"/>
    <row r="1354" ht="49.5" customHeight="1" x14ac:dyDescent="0.65"/>
    <row r="1355" ht="49.5" customHeight="1" x14ac:dyDescent="0.65"/>
    <row r="1356" ht="49.5" customHeight="1" x14ac:dyDescent="0.65"/>
    <row r="1357" ht="49.5" customHeight="1" x14ac:dyDescent="0.65"/>
    <row r="1358" ht="49.5" customHeight="1" x14ac:dyDescent="0.65"/>
    <row r="1359" ht="49.5" customHeight="1" x14ac:dyDescent="0.65"/>
    <row r="1360" ht="49.5" customHeight="1" x14ac:dyDescent="0.65"/>
    <row r="1361" ht="49.5" customHeight="1" x14ac:dyDescent="0.65"/>
    <row r="1362" ht="49.5" customHeight="1" x14ac:dyDescent="0.65"/>
    <row r="1363" ht="49.5" customHeight="1" x14ac:dyDescent="0.65"/>
    <row r="1364" ht="49.5" customHeight="1" x14ac:dyDescent="0.65"/>
    <row r="1365" ht="49.5" customHeight="1" x14ac:dyDescent="0.65"/>
    <row r="1366" ht="49.5" customHeight="1" x14ac:dyDescent="0.65"/>
    <row r="1367" ht="49.5" customHeight="1" x14ac:dyDescent="0.65"/>
    <row r="1368" ht="49.5" customHeight="1" x14ac:dyDescent="0.65"/>
    <row r="1369" ht="49.5" customHeight="1" x14ac:dyDescent="0.65"/>
    <row r="1370" ht="49.5" customHeight="1" x14ac:dyDescent="0.65"/>
    <row r="1371" ht="49.5" customHeight="1" x14ac:dyDescent="0.65"/>
    <row r="1372" ht="49.5" customHeight="1" x14ac:dyDescent="0.65"/>
    <row r="1373" ht="49.5" customHeight="1" x14ac:dyDescent="0.65"/>
    <row r="1374" ht="49.5" customHeight="1" x14ac:dyDescent="0.65"/>
    <row r="1375" ht="49.5" customHeight="1" x14ac:dyDescent="0.65"/>
    <row r="1376" ht="49.5" customHeight="1" x14ac:dyDescent="0.65"/>
    <row r="1377" ht="49.5" customHeight="1" x14ac:dyDescent="0.65"/>
    <row r="1378" ht="49.5" customHeight="1" x14ac:dyDescent="0.65"/>
    <row r="1379" ht="49.5" customHeight="1" x14ac:dyDescent="0.65"/>
    <row r="1380" ht="49.5" customHeight="1" x14ac:dyDescent="0.65"/>
    <row r="1381" ht="49.5" customHeight="1" x14ac:dyDescent="0.65"/>
    <row r="1382" ht="49.5" customHeight="1" x14ac:dyDescent="0.65"/>
    <row r="1383" ht="49.5" customHeight="1" x14ac:dyDescent="0.65"/>
    <row r="1384" ht="49.5" customHeight="1" x14ac:dyDescent="0.65"/>
    <row r="1385" ht="49.5" customHeight="1" x14ac:dyDescent="0.65"/>
    <row r="1386" ht="49.5" customHeight="1" x14ac:dyDescent="0.65"/>
    <row r="1387" ht="49.5" customHeight="1" x14ac:dyDescent="0.65"/>
    <row r="1388" ht="49.5" customHeight="1" x14ac:dyDescent="0.65"/>
    <row r="1389" ht="49.5" customHeight="1" x14ac:dyDescent="0.65"/>
    <row r="1390" ht="49.5" customHeight="1" x14ac:dyDescent="0.65"/>
    <row r="1391" ht="49.5" customHeight="1" x14ac:dyDescent="0.65"/>
    <row r="1392" ht="49.5" customHeight="1" x14ac:dyDescent="0.65"/>
    <row r="1393" ht="49.5" customHeight="1" x14ac:dyDescent="0.65"/>
    <row r="1394" ht="49.5" customHeight="1" x14ac:dyDescent="0.65"/>
    <row r="1395" ht="49.5" customHeight="1" x14ac:dyDescent="0.65"/>
    <row r="1396" ht="49.5" customHeight="1" x14ac:dyDescent="0.65"/>
    <row r="1397" ht="49.5" customHeight="1" x14ac:dyDescent="0.65"/>
    <row r="1398" ht="49.5" customHeight="1" x14ac:dyDescent="0.65"/>
    <row r="1399" ht="49.5" customHeight="1" x14ac:dyDescent="0.65"/>
    <row r="1400" ht="49.5" customHeight="1" x14ac:dyDescent="0.65"/>
    <row r="1401" ht="49.5" customHeight="1" x14ac:dyDescent="0.65"/>
    <row r="1402" ht="49.5" customHeight="1" x14ac:dyDescent="0.65"/>
    <row r="1403" ht="49.5" customHeight="1" x14ac:dyDescent="0.65"/>
    <row r="1404" ht="49.5" customHeight="1" x14ac:dyDescent="0.65"/>
    <row r="1405" ht="49.5" customHeight="1" x14ac:dyDescent="0.65"/>
    <row r="1406" ht="49.5" customHeight="1" x14ac:dyDescent="0.65"/>
    <row r="1407" ht="49.5" customHeight="1" x14ac:dyDescent="0.65"/>
    <row r="1408" ht="49.5" customHeight="1" x14ac:dyDescent="0.65"/>
    <row r="1409" ht="49.5" customHeight="1" x14ac:dyDescent="0.65"/>
    <row r="1410" ht="49.5" customHeight="1" x14ac:dyDescent="0.65"/>
    <row r="1411" ht="49.5" customHeight="1" x14ac:dyDescent="0.65"/>
    <row r="1412" ht="49.5" customHeight="1" x14ac:dyDescent="0.65"/>
    <row r="1413" ht="49.5" customHeight="1" x14ac:dyDescent="0.65"/>
    <row r="1414" ht="49.5" customHeight="1" x14ac:dyDescent="0.65"/>
    <row r="1415" ht="49.5" customHeight="1" x14ac:dyDescent="0.65"/>
    <row r="1416" ht="49.5" customHeight="1" x14ac:dyDescent="0.65"/>
    <row r="1417" ht="49.5" customHeight="1" x14ac:dyDescent="0.65"/>
    <row r="1418" ht="49.5" customHeight="1" x14ac:dyDescent="0.65"/>
    <row r="1419" ht="49.5" customHeight="1" x14ac:dyDescent="0.65"/>
    <row r="1420" ht="49.5" customHeight="1" x14ac:dyDescent="0.65"/>
    <row r="1421" ht="49.5" customHeight="1" x14ac:dyDescent="0.65"/>
    <row r="1422" ht="49.5" customHeight="1" x14ac:dyDescent="0.65"/>
    <row r="1423" ht="49.5" customHeight="1" x14ac:dyDescent="0.65"/>
    <row r="1424" ht="49.5" customHeight="1" x14ac:dyDescent="0.65"/>
    <row r="1425" ht="49.5" customHeight="1" x14ac:dyDescent="0.65"/>
    <row r="1426" ht="49.5" customHeight="1" x14ac:dyDescent="0.65"/>
    <row r="1427" ht="49.5" customHeight="1" x14ac:dyDescent="0.65"/>
    <row r="1428" ht="49.5" customHeight="1" x14ac:dyDescent="0.65"/>
    <row r="1429" ht="49.5" customHeight="1" x14ac:dyDescent="0.65"/>
    <row r="1430" ht="49.5" customHeight="1" x14ac:dyDescent="0.65"/>
    <row r="1431" ht="49.5" customHeight="1" x14ac:dyDescent="0.65"/>
    <row r="1432" ht="49.5" customHeight="1" x14ac:dyDescent="0.65"/>
    <row r="1433" ht="49.5" customHeight="1" x14ac:dyDescent="0.65"/>
    <row r="1434" ht="49.5" customHeight="1" x14ac:dyDescent="0.65"/>
    <row r="1435" ht="49.5" customHeight="1" x14ac:dyDescent="0.65"/>
    <row r="1436" ht="49.5" customHeight="1" x14ac:dyDescent="0.65"/>
    <row r="1437" ht="49.5" customHeight="1" x14ac:dyDescent="0.65"/>
    <row r="1438" ht="49.5" customHeight="1" x14ac:dyDescent="0.65"/>
    <row r="1439" ht="49.5" customHeight="1" x14ac:dyDescent="0.65"/>
    <row r="1440" ht="49.5" customHeight="1" x14ac:dyDescent="0.65"/>
    <row r="1441" ht="49.5" customHeight="1" x14ac:dyDescent="0.65"/>
    <row r="1442" ht="49.5" customHeight="1" x14ac:dyDescent="0.65"/>
    <row r="1443" ht="49.5" customHeight="1" x14ac:dyDescent="0.65"/>
    <row r="1444" ht="49.5" customHeight="1" x14ac:dyDescent="0.65"/>
    <row r="1445" ht="49.5" customHeight="1" x14ac:dyDescent="0.65"/>
    <row r="1446" ht="49.5" customHeight="1" x14ac:dyDescent="0.65"/>
    <row r="1447" ht="49.5" customHeight="1" x14ac:dyDescent="0.65"/>
    <row r="1448" ht="49.5" customHeight="1" x14ac:dyDescent="0.65"/>
    <row r="1449" ht="49.5" customHeight="1" x14ac:dyDescent="0.65"/>
    <row r="1450" ht="49.5" customHeight="1" x14ac:dyDescent="0.65"/>
    <row r="1451" ht="49.5" customHeight="1" x14ac:dyDescent="0.65"/>
    <row r="1452" ht="49.5" customHeight="1" x14ac:dyDescent="0.65"/>
    <row r="1453" ht="49.5" customHeight="1" x14ac:dyDescent="0.65"/>
    <row r="1454" ht="49.5" customHeight="1" x14ac:dyDescent="0.65"/>
    <row r="1455" ht="49.5" customHeight="1" x14ac:dyDescent="0.65"/>
    <row r="1456" ht="49.5" customHeight="1" x14ac:dyDescent="0.65"/>
    <row r="1457" ht="49.5" customHeight="1" x14ac:dyDescent="0.65"/>
    <row r="1458" ht="49.5" customHeight="1" x14ac:dyDescent="0.65"/>
    <row r="1459" ht="49.5" customHeight="1" x14ac:dyDescent="0.65"/>
    <row r="1460" ht="49.5" customHeight="1" x14ac:dyDescent="0.65"/>
    <row r="1461" ht="49.5" customHeight="1" x14ac:dyDescent="0.65"/>
    <row r="1462" ht="49.5" customHeight="1" x14ac:dyDescent="0.65"/>
    <row r="1463" ht="49.5" customHeight="1" x14ac:dyDescent="0.65"/>
    <row r="1464" ht="49.5" customHeight="1" x14ac:dyDescent="0.65"/>
    <row r="1465" ht="49.5" customHeight="1" x14ac:dyDescent="0.65"/>
    <row r="1466" ht="49.5" customHeight="1" x14ac:dyDescent="0.65"/>
    <row r="1467" ht="49.5" customHeight="1" x14ac:dyDescent="0.65"/>
    <row r="1468" ht="49.5" customHeight="1" x14ac:dyDescent="0.65"/>
    <row r="1469" ht="49.5" customHeight="1" x14ac:dyDescent="0.65"/>
    <row r="1470" ht="49.5" customHeight="1" x14ac:dyDescent="0.65"/>
    <row r="1471" ht="49.5" customHeight="1" x14ac:dyDescent="0.65"/>
    <row r="1472" ht="49.5" customHeight="1" x14ac:dyDescent="0.65"/>
    <row r="1473" ht="49.5" customHeight="1" x14ac:dyDescent="0.65"/>
    <row r="1474" ht="49.5" customHeight="1" x14ac:dyDescent="0.65"/>
    <row r="1475" ht="49.5" customHeight="1" x14ac:dyDescent="0.65"/>
    <row r="1476" ht="49.5" customHeight="1" x14ac:dyDescent="0.65"/>
    <row r="1477" ht="49.5" customHeight="1" x14ac:dyDescent="0.65"/>
    <row r="1478" ht="49.5" customHeight="1" x14ac:dyDescent="0.65"/>
    <row r="1479" ht="49.5" customHeight="1" x14ac:dyDescent="0.65"/>
    <row r="1480" ht="49.5" customHeight="1" x14ac:dyDescent="0.65"/>
    <row r="1481" ht="49.5" customHeight="1" x14ac:dyDescent="0.65"/>
    <row r="1482" ht="49.5" customHeight="1" x14ac:dyDescent="0.65"/>
    <row r="1483" ht="49.5" customHeight="1" x14ac:dyDescent="0.65"/>
    <row r="1484" ht="49.5" customHeight="1" x14ac:dyDescent="0.65"/>
    <row r="1485" ht="49.5" customHeight="1" x14ac:dyDescent="0.65"/>
    <row r="1486" ht="49.5" customHeight="1" x14ac:dyDescent="0.65"/>
    <row r="1487" ht="49.5" customHeight="1" x14ac:dyDescent="0.65"/>
    <row r="1488" ht="49.5" customHeight="1" x14ac:dyDescent="0.65"/>
    <row r="1489" ht="49.5" customHeight="1" x14ac:dyDescent="0.65"/>
    <row r="1490" ht="49.5" customHeight="1" x14ac:dyDescent="0.65"/>
    <row r="1491" ht="49.5" customHeight="1" x14ac:dyDescent="0.65"/>
    <row r="1492" ht="49.5" customHeight="1" x14ac:dyDescent="0.65"/>
    <row r="1493" ht="49.5" customHeight="1" x14ac:dyDescent="0.65"/>
    <row r="1494" ht="49.5" customHeight="1" x14ac:dyDescent="0.65"/>
    <row r="1495" ht="49.5" customHeight="1" x14ac:dyDescent="0.65"/>
    <row r="1496" ht="49.5" customHeight="1" x14ac:dyDescent="0.65"/>
    <row r="1497" ht="49.5" customHeight="1" x14ac:dyDescent="0.65"/>
    <row r="1498" ht="49.5" customHeight="1" x14ac:dyDescent="0.65"/>
    <row r="1499" ht="49.5" customHeight="1" x14ac:dyDescent="0.65"/>
    <row r="1500" ht="49.5" customHeight="1" x14ac:dyDescent="0.65"/>
    <row r="1501" ht="49.5" customHeight="1" x14ac:dyDescent="0.65"/>
    <row r="1502" ht="49.5" customHeight="1" x14ac:dyDescent="0.65"/>
    <row r="1503" ht="49.5" customHeight="1" x14ac:dyDescent="0.65"/>
    <row r="1504" ht="49.5" customHeight="1" x14ac:dyDescent="0.65"/>
    <row r="1505" ht="49.5" customHeight="1" x14ac:dyDescent="0.65"/>
    <row r="1506" ht="49.5" customHeight="1" x14ac:dyDescent="0.65"/>
    <row r="1507" ht="49.5" customHeight="1" x14ac:dyDescent="0.65"/>
    <row r="1508" ht="49.5" customHeight="1" x14ac:dyDescent="0.65"/>
    <row r="1509" ht="49.5" customHeight="1" x14ac:dyDescent="0.65"/>
    <row r="1510" ht="49.5" customHeight="1" x14ac:dyDescent="0.65"/>
    <row r="1511" ht="49.5" customHeight="1" x14ac:dyDescent="0.65"/>
    <row r="1512" ht="49.5" customHeight="1" x14ac:dyDescent="0.65"/>
    <row r="1513" ht="49.5" customHeight="1" x14ac:dyDescent="0.65"/>
    <row r="1514" ht="49.5" customHeight="1" x14ac:dyDescent="0.65"/>
    <row r="1515" ht="49.5" customHeight="1" x14ac:dyDescent="0.65"/>
    <row r="1516" ht="49.5" customHeight="1" x14ac:dyDescent="0.65"/>
    <row r="1517" ht="49.5" customHeight="1" x14ac:dyDescent="0.65"/>
    <row r="1518" ht="49.5" customHeight="1" x14ac:dyDescent="0.65"/>
    <row r="1519" ht="49.5" customHeight="1" x14ac:dyDescent="0.65"/>
    <row r="1520" ht="49.5" customHeight="1" x14ac:dyDescent="0.65"/>
    <row r="1521" ht="49.5" customHeight="1" x14ac:dyDescent="0.65"/>
    <row r="1522" ht="49.5" customHeight="1" x14ac:dyDescent="0.65"/>
    <row r="1523" ht="49.5" customHeight="1" x14ac:dyDescent="0.65"/>
    <row r="1524" ht="49.5" customHeight="1" x14ac:dyDescent="0.65"/>
    <row r="1525" ht="49.5" customHeight="1" x14ac:dyDescent="0.65"/>
    <row r="1526" ht="49.5" customHeight="1" x14ac:dyDescent="0.65"/>
    <row r="1527" ht="49.5" customHeight="1" x14ac:dyDescent="0.65"/>
    <row r="1528" ht="49.5" customHeight="1" x14ac:dyDescent="0.65"/>
    <row r="1529" ht="49.5" customHeight="1" x14ac:dyDescent="0.65"/>
    <row r="1530" ht="49.5" customHeight="1" x14ac:dyDescent="0.65"/>
    <row r="1531" ht="49.5" customHeight="1" x14ac:dyDescent="0.65"/>
    <row r="1532" ht="49.5" customHeight="1" x14ac:dyDescent="0.65"/>
    <row r="1533" ht="49.5" customHeight="1" x14ac:dyDescent="0.65"/>
    <row r="1534" ht="49.5" customHeight="1" x14ac:dyDescent="0.65"/>
    <row r="1535" ht="49.5" customHeight="1" x14ac:dyDescent="0.65"/>
    <row r="1536" ht="49.5" customHeight="1" x14ac:dyDescent="0.65"/>
    <row r="1537" ht="49.5" customHeight="1" x14ac:dyDescent="0.65"/>
    <row r="1538" ht="49.5" customHeight="1" x14ac:dyDescent="0.65"/>
    <row r="1539" ht="49.5" customHeight="1" x14ac:dyDescent="0.65"/>
    <row r="1540" ht="49.5" customHeight="1" x14ac:dyDescent="0.65"/>
    <row r="1541" ht="49.5" customHeight="1" x14ac:dyDescent="0.65"/>
    <row r="1542" ht="49.5" customHeight="1" x14ac:dyDescent="0.65"/>
    <row r="1543" ht="49.5" customHeight="1" x14ac:dyDescent="0.65"/>
    <row r="1544" ht="49.5" customHeight="1" x14ac:dyDescent="0.65"/>
    <row r="1545" ht="49.5" customHeight="1" x14ac:dyDescent="0.65"/>
    <row r="1546" ht="49.5" customHeight="1" x14ac:dyDescent="0.65"/>
    <row r="1547" ht="49.5" customHeight="1" x14ac:dyDescent="0.65"/>
    <row r="1548" ht="49.5" customHeight="1" x14ac:dyDescent="0.65"/>
    <row r="1549" ht="49.5" customHeight="1" x14ac:dyDescent="0.65"/>
    <row r="1550" ht="49.5" customHeight="1" x14ac:dyDescent="0.65"/>
    <row r="1551" ht="49.5" customHeight="1" x14ac:dyDescent="0.65"/>
    <row r="1552" ht="49.5" customHeight="1" x14ac:dyDescent="0.65"/>
    <row r="1553" ht="49.5" customHeight="1" x14ac:dyDescent="0.65"/>
    <row r="1554" ht="49.5" customHeight="1" x14ac:dyDescent="0.65"/>
    <row r="1555" ht="49.5" customHeight="1" x14ac:dyDescent="0.65"/>
    <row r="1556" ht="49.5" customHeight="1" x14ac:dyDescent="0.65"/>
    <row r="1557" ht="49.5" customHeight="1" x14ac:dyDescent="0.65"/>
    <row r="1558" ht="49.5" customHeight="1" x14ac:dyDescent="0.65"/>
    <row r="1559" ht="49.5" customHeight="1" x14ac:dyDescent="0.65"/>
    <row r="1560" ht="49.5" customHeight="1" x14ac:dyDescent="0.65"/>
    <row r="1561" ht="49.5" customHeight="1" x14ac:dyDescent="0.65"/>
    <row r="1562" ht="49.5" customHeight="1" x14ac:dyDescent="0.65"/>
    <row r="1563" ht="49.5" customHeight="1" x14ac:dyDescent="0.65"/>
    <row r="1564" ht="49.5" customHeight="1" x14ac:dyDescent="0.65"/>
    <row r="1565" ht="49.5" customHeight="1" x14ac:dyDescent="0.65"/>
    <row r="1566" ht="49.5" customHeight="1" x14ac:dyDescent="0.65"/>
    <row r="1567" ht="49.5" customHeight="1" x14ac:dyDescent="0.65"/>
    <row r="1568" ht="49.5" customHeight="1" x14ac:dyDescent="0.65"/>
    <row r="1569" ht="49.5" customHeight="1" x14ac:dyDescent="0.65"/>
    <row r="1570" ht="49.5" customHeight="1" x14ac:dyDescent="0.65"/>
    <row r="1571" ht="49.5" customHeight="1" x14ac:dyDescent="0.65"/>
    <row r="1572" ht="49.5" customHeight="1" x14ac:dyDescent="0.65"/>
    <row r="1573" ht="49.5" customHeight="1" x14ac:dyDescent="0.65"/>
    <row r="1574" ht="49.5" customHeight="1" x14ac:dyDescent="0.65"/>
    <row r="1575" ht="49.5" customHeight="1" x14ac:dyDescent="0.65"/>
    <row r="1576" ht="49.5" customHeight="1" x14ac:dyDescent="0.65"/>
    <row r="1577" ht="49.5" customHeight="1" x14ac:dyDescent="0.65"/>
    <row r="1578" ht="49.5" customHeight="1" x14ac:dyDescent="0.65"/>
    <row r="1579" ht="49.5" customHeight="1" x14ac:dyDescent="0.65"/>
    <row r="1580" ht="49.5" customHeight="1" x14ac:dyDescent="0.65"/>
    <row r="1581" ht="49.5" customHeight="1" x14ac:dyDescent="0.65"/>
    <row r="1582" ht="49.5" customHeight="1" x14ac:dyDescent="0.65"/>
    <row r="1583" ht="49.5" customHeight="1" x14ac:dyDescent="0.65"/>
    <row r="1584" ht="49.5" customHeight="1" x14ac:dyDescent="0.65"/>
    <row r="1585" ht="49.5" customHeight="1" x14ac:dyDescent="0.65"/>
    <row r="1586" ht="49.5" customHeight="1" x14ac:dyDescent="0.65"/>
    <row r="1587" ht="49.5" customHeight="1" x14ac:dyDescent="0.65"/>
    <row r="1588" ht="49.5" customHeight="1" x14ac:dyDescent="0.65"/>
    <row r="1589" ht="49.5" customHeight="1" x14ac:dyDescent="0.65"/>
    <row r="1590" ht="49.5" customHeight="1" x14ac:dyDescent="0.65"/>
    <row r="1591" ht="49.5" customHeight="1" x14ac:dyDescent="0.65"/>
    <row r="1592" ht="49.5" customHeight="1" x14ac:dyDescent="0.65"/>
    <row r="1593" ht="49.5" customHeight="1" x14ac:dyDescent="0.65"/>
    <row r="1594" ht="49.5" customHeight="1" x14ac:dyDescent="0.65"/>
    <row r="1595" ht="49.5" customHeight="1" x14ac:dyDescent="0.65"/>
    <row r="1596" ht="49.5" customHeight="1" x14ac:dyDescent="0.65"/>
    <row r="1597" ht="49.5" customHeight="1" x14ac:dyDescent="0.65"/>
    <row r="1598" ht="49.5" customHeight="1" x14ac:dyDescent="0.65"/>
    <row r="1599" ht="49.5" customHeight="1" x14ac:dyDescent="0.65"/>
    <row r="1600" ht="49.5" customHeight="1" x14ac:dyDescent="0.65"/>
    <row r="1601" ht="49.5" customHeight="1" x14ac:dyDescent="0.65"/>
    <row r="1602" ht="49.5" customHeight="1" x14ac:dyDescent="0.65"/>
    <row r="1603" ht="49.5" customHeight="1" x14ac:dyDescent="0.65"/>
    <row r="1604" ht="49.5" customHeight="1" x14ac:dyDescent="0.65"/>
    <row r="1605" ht="49.5" customHeight="1" x14ac:dyDescent="0.65"/>
    <row r="1606" ht="49.5" customHeight="1" x14ac:dyDescent="0.65"/>
    <row r="1607" ht="49.5" customHeight="1" x14ac:dyDescent="0.65"/>
    <row r="1608" ht="49.5" customHeight="1" x14ac:dyDescent="0.65"/>
    <row r="1609" ht="49.5" customHeight="1" x14ac:dyDescent="0.65"/>
    <row r="1610" ht="49.5" customHeight="1" x14ac:dyDescent="0.65"/>
    <row r="1611" ht="49.5" customHeight="1" x14ac:dyDescent="0.65"/>
    <row r="1612" ht="49.5" customHeight="1" x14ac:dyDescent="0.65"/>
    <row r="1613" ht="49.5" customHeight="1" x14ac:dyDescent="0.65"/>
    <row r="1614" ht="49.5" customHeight="1" x14ac:dyDescent="0.65"/>
    <row r="1615" ht="49.5" customHeight="1" x14ac:dyDescent="0.65"/>
    <row r="1616" ht="49.5" customHeight="1" x14ac:dyDescent="0.65"/>
    <row r="1617" ht="49.5" customHeight="1" x14ac:dyDescent="0.65"/>
    <row r="1618" ht="49.5" customHeight="1" x14ac:dyDescent="0.65"/>
    <row r="1619" ht="49.5" customHeight="1" x14ac:dyDescent="0.65"/>
    <row r="1620" ht="49.5" customHeight="1" x14ac:dyDescent="0.65"/>
    <row r="1621" ht="49.5" customHeight="1" x14ac:dyDescent="0.65"/>
    <row r="1622" ht="49.5" customHeight="1" x14ac:dyDescent="0.65"/>
    <row r="1623" ht="49.5" customHeight="1" x14ac:dyDescent="0.65"/>
    <row r="1624" ht="49.5" customHeight="1" x14ac:dyDescent="0.65"/>
    <row r="1625" ht="49.5" customHeight="1" x14ac:dyDescent="0.65"/>
    <row r="1626" ht="49.5" customHeight="1" x14ac:dyDescent="0.65"/>
    <row r="1627" ht="49.5" customHeight="1" x14ac:dyDescent="0.65"/>
    <row r="1628" ht="49.5" customHeight="1" x14ac:dyDescent="0.65"/>
    <row r="1629" ht="49.5" customHeight="1" x14ac:dyDescent="0.65"/>
    <row r="1630" ht="49.5" customHeight="1" x14ac:dyDescent="0.65"/>
    <row r="1631" ht="49.5" customHeight="1" x14ac:dyDescent="0.65"/>
    <row r="1632" ht="49.5" customHeight="1" x14ac:dyDescent="0.65"/>
    <row r="1633" ht="49.5" customHeight="1" x14ac:dyDescent="0.65"/>
    <row r="1634" ht="49.5" customHeight="1" x14ac:dyDescent="0.65"/>
    <row r="1635" ht="49.5" customHeight="1" x14ac:dyDescent="0.65"/>
    <row r="1636" ht="49.5" customHeight="1" x14ac:dyDescent="0.65"/>
    <row r="1637" ht="49.5" customHeight="1" x14ac:dyDescent="0.65"/>
    <row r="1638" ht="49.5" customHeight="1" x14ac:dyDescent="0.65"/>
    <row r="1639" ht="49.5" customHeight="1" x14ac:dyDescent="0.65"/>
    <row r="1640" ht="49.5" customHeight="1" x14ac:dyDescent="0.65"/>
    <row r="1641" ht="49.5" customHeight="1" x14ac:dyDescent="0.65"/>
    <row r="1642" ht="49.5" customHeight="1" x14ac:dyDescent="0.65"/>
    <row r="1643" ht="49.5" customHeight="1" x14ac:dyDescent="0.65"/>
    <row r="1644" ht="49.5" customHeight="1" x14ac:dyDescent="0.65"/>
    <row r="1645" ht="49.5" customHeight="1" x14ac:dyDescent="0.65"/>
    <row r="1646" ht="49.5" customHeight="1" x14ac:dyDescent="0.65"/>
    <row r="1647" ht="49.5" customHeight="1" x14ac:dyDescent="0.65"/>
    <row r="1648" ht="49.5" customHeight="1" x14ac:dyDescent="0.65"/>
    <row r="1649" ht="49.5" customHeight="1" x14ac:dyDescent="0.65"/>
    <row r="1650" ht="49.5" customHeight="1" x14ac:dyDescent="0.65"/>
    <row r="1651" ht="49.5" customHeight="1" x14ac:dyDescent="0.65"/>
    <row r="1652" ht="49.5" customHeight="1" x14ac:dyDescent="0.65"/>
    <row r="1653" ht="49.5" customHeight="1" x14ac:dyDescent="0.65"/>
    <row r="1654" ht="49.5" customHeight="1" x14ac:dyDescent="0.65"/>
    <row r="1655" ht="49.5" customHeight="1" x14ac:dyDescent="0.65"/>
    <row r="1656" ht="49.5" customHeight="1" x14ac:dyDescent="0.65"/>
    <row r="1657" ht="49.5" customHeight="1" x14ac:dyDescent="0.65"/>
    <row r="1658" ht="49.5" customHeight="1" x14ac:dyDescent="0.65"/>
    <row r="1659" ht="49.5" customHeight="1" x14ac:dyDescent="0.65"/>
    <row r="1660" ht="49.5" customHeight="1" x14ac:dyDescent="0.65"/>
    <row r="1661" ht="49.5" customHeight="1" x14ac:dyDescent="0.65"/>
    <row r="1662" ht="49.5" customHeight="1" x14ac:dyDescent="0.65"/>
    <row r="1663" ht="49.5" customHeight="1" x14ac:dyDescent="0.65"/>
    <row r="1664" ht="49.5" customHeight="1" x14ac:dyDescent="0.65"/>
    <row r="1665" ht="49.5" customHeight="1" x14ac:dyDescent="0.65"/>
    <row r="1666" ht="49.5" customHeight="1" x14ac:dyDescent="0.65"/>
    <row r="1667" ht="49.5" customHeight="1" x14ac:dyDescent="0.65"/>
    <row r="1668" ht="49.5" customHeight="1" x14ac:dyDescent="0.65"/>
    <row r="1669" ht="49.5" customHeight="1" x14ac:dyDescent="0.65"/>
    <row r="1670" ht="49.5" customHeight="1" x14ac:dyDescent="0.65"/>
    <row r="1671" ht="49.5" customHeight="1" x14ac:dyDescent="0.65"/>
    <row r="1672" ht="49.5" customHeight="1" x14ac:dyDescent="0.65"/>
    <row r="1673" ht="49.5" customHeight="1" x14ac:dyDescent="0.65"/>
    <row r="1674" ht="49.5" customHeight="1" x14ac:dyDescent="0.65"/>
    <row r="1675" ht="49.5" customHeight="1" x14ac:dyDescent="0.65"/>
    <row r="1676" ht="49.5" customHeight="1" x14ac:dyDescent="0.65"/>
    <row r="1677" ht="49.5" customHeight="1" x14ac:dyDescent="0.65"/>
    <row r="1678" ht="49.5" customHeight="1" x14ac:dyDescent="0.65"/>
    <row r="1679" ht="49.5" customHeight="1" x14ac:dyDescent="0.65"/>
    <row r="1680" ht="49.5" customHeight="1" x14ac:dyDescent="0.65"/>
    <row r="1681" ht="49.5" customHeight="1" x14ac:dyDescent="0.65"/>
    <row r="1682" ht="49.5" customHeight="1" x14ac:dyDescent="0.65"/>
    <row r="1683" ht="49.5" customHeight="1" x14ac:dyDescent="0.65"/>
    <row r="1684" ht="49.5" customHeight="1" x14ac:dyDescent="0.65"/>
    <row r="1685" ht="49.5" customHeight="1" x14ac:dyDescent="0.65"/>
    <row r="1686" ht="49.5" customHeight="1" x14ac:dyDescent="0.65"/>
    <row r="1687" ht="49.5" customHeight="1" x14ac:dyDescent="0.65"/>
    <row r="1688" ht="49.5" customHeight="1" x14ac:dyDescent="0.65"/>
    <row r="1689" ht="49.5" customHeight="1" x14ac:dyDescent="0.65"/>
    <row r="1690" ht="49.5" customHeight="1" x14ac:dyDescent="0.65"/>
    <row r="1691" ht="49.5" customHeight="1" x14ac:dyDescent="0.65"/>
    <row r="1692" ht="49.5" customHeight="1" x14ac:dyDescent="0.65"/>
    <row r="1693" ht="49.5" customHeight="1" x14ac:dyDescent="0.65"/>
    <row r="1694" ht="49.5" customHeight="1" x14ac:dyDescent="0.65"/>
    <row r="1695" ht="49.5" customHeight="1" x14ac:dyDescent="0.65"/>
    <row r="1696" ht="49.5" customHeight="1" x14ac:dyDescent="0.65"/>
    <row r="1697" ht="49.5" customHeight="1" x14ac:dyDescent="0.65"/>
    <row r="1698" ht="49.5" customHeight="1" x14ac:dyDescent="0.65"/>
    <row r="1699" ht="49.5" customHeight="1" x14ac:dyDescent="0.65"/>
    <row r="1700" ht="49.5" customHeight="1" x14ac:dyDescent="0.65"/>
    <row r="1701" ht="49.5" customHeight="1" x14ac:dyDescent="0.65"/>
    <row r="1702" ht="49.5" customHeight="1" x14ac:dyDescent="0.65"/>
    <row r="1703" ht="49.5" customHeight="1" x14ac:dyDescent="0.65"/>
    <row r="1704" ht="49.5" customHeight="1" x14ac:dyDescent="0.65"/>
    <row r="1705" ht="49.5" customHeight="1" x14ac:dyDescent="0.65"/>
    <row r="1706" ht="49.5" customHeight="1" x14ac:dyDescent="0.65"/>
    <row r="1707" ht="49.5" customHeight="1" x14ac:dyDescent="0.65"/>
    <row r="1708" ht="49.5" customHeight="1" x14ac:dyDescent="0.65"/>
    <row r="1709" ht="49.5" customHeight="1" x14ac:dyDescent="0.65"/>
    <row r="1710" ht="49.5" customHeight="1" x14ac:dyDescent="0.65"/>
    <row r="1711" ht="49.5" customHeight="1" x14ac:dyDescent="0.65"/>
    <row r="1712" ht="49.5" customHeight="1" x14ac:dyDescent="0.65"/>
    <row r="1713" ht="49.5" customHeight="1" x14ac:dyDescent="0.65"/>
    <row r="1714" ht="49.5" customHeight="1" x14ac:dyDescent="0.65"/>
    <row r="1715" ht="49.5" customHeight="1" x14ac:dyDescent="0.65"/>
    <row r="1716" ht="49.5" customHeight="1" x14ac:dyDescent="0.65"/>
    <row r="1717" ht="49.5" customHeight="1" x14ac:dyDescent="0.65"/>
    <row r="1718" ht="49.5" customHeight="1" x14ac:dyDescent="0.65"/>
    <row r="1719" ht="49.5" customHeight="1" x14ac:dyDescent="0.65"/>
    <row r="1720" ht="49.5" customHeight="1" x14ac:dyDescent="0.65"/>
    <row r="1721" ht="49.5" customHeight="1" x14ac:dyDescent="0.65"/>
    <row r="1722" ht="49.5" customHeight="1" x14ac:dyDescent="0.65"/>
    <row r="1723" ht="49.5" customHeight="1" x14ac:dyDescent="0.65"/>
    <row r="1724" ht="49.5" customHeight="1" x14ac:dyDescent="0.65"/>
    <row r="1725" ht="49.5" customHeight="1" x14ac:dyDescent="0.65"/>
    <row r="1726" ht="49.5" customHeight="1" x14ac:dyDescent="0.65"/>
    <row r="1727" ht="49.5" customHeight="1" x14ac:dyDescent="0.65"/>
    <row r="1728" ht="49.5" customHeight="1" x14ac:dyDescent="0.65"/>
    <row r="1729" ht="49.5" customHeight="1" x14ac:dyDescent="0.65"/>
    <row r="1730" ht="49.5" customHeight="1" x14ac:dyDescent="0.65"/>
    <row r="1731" ht="49.5" customHeight="1" x14ac:dyDescent="0.65"/>
    <row r="1732" ht="49.5" customHeight="1" x14ac:dyDescent="0.65"/>
    <row r="1733" ht="49.5" customHeight="1" x14ac:dyDescent="0.65"/>
    <row r="1734" ht="49.5" customHeight="1" x14ac:dyDescent="0.65"/>
    <row r="1735" ht="49.5" customHeight="1" x14ac:dyDescent="0.65"/>
    <row r="1736" ht="49.5" customHeight="1" x14ac:dyDescent="0.65"/>
    <row r="1737" ht="49.5" customHeight="1" x14ac:dyDescent="0.65"/>
    <row r="1738" ht="49.5" customHeight="1" x14ac:dyDescent="0.65"/>
    <row r="1739" ht="49.5" customHeight="1" x14ac:dyDescent="0.65"/>
    <row r="1740" ht="49.5" customHeight="1" x14ac:dyDescent="0.65"/>
    <row r="1741" ht="49.5" customHeight="1" x14ac:dyDescent="0.65"/>
    <row r="1742" ht="49.5" customHeight="1" x14ac:dyDescent="0.65"/>
    <row r="1743" ht="49.5" customHeight="1" x14ac:dyDescent="0.65"/>
    <row r="1744" ht="49.5" customHeight="1" x14ac:dyDescent="0.65"/>
    <row r="1745" ht="49.5" customHeight="1" x14ac:dyDescent="0.65"/>
    <row r="1746" ht="49.5" customHeight="1" x14ac:dyDescent="0.65"/>
    <row r="1747" ht="49.5" customHeight="1" x14ac:dyDescent="0.65"/>
    <row r="1748" ht="49.5" customHeight="1" x14ac:dyDescent="0.65"/>
    <row r="1749" ht="49.5" customHeight="1" x14ac:dyDescent="0.65"/>
    <row r="1750" ht="49.5" customHeight="1" x14ac:dyDescent="0.65"/>
    <row r="1751" ht="49.5" customHeight="1" x14ac:dyDescent="0.65"/>
    <row r="1752" ht="49.5" customHeight="1" x14ac:dyDescent="0.65"/>
    <row r="1753" ht="49.5" customHeight="1" x14ac:dyDescent="0.65"/>
    <row r="1754" ht="49.5" customHeight="1" x14ac:dyDescent="0.65"/>
    <row r="1755" ht="49.5" customHeight="1" x14ac:dyDescent="0.65"/>
    <row r="1756" ht="49.5" customHeight="1" x14ac:dyDescent="0.65"/>
    <row r="1757" ht="49.5" customHeight="1" x14ac:dyDescent="0.65"/>
    <row r="1758" ht="49.5" customHeight="1" x14ac:dyDescent="0.65"/>
    <row r="1759" ht="49.5" customHeight="1" x14ac:dyDescent="0.65"/>
    <row r="1760" ht="49.5" customHeight="1" x14ac:dyDescent="0.65"/>
    <row r="1761" ht="49.5" customHeight="1" x14ac:dyDescent="0.65"/>
    <row r="1762" ht="49.5" customHeight="1" x14ac:dyDescent="0.65"/>
    <row r="1763" ht="49.5" customHeight="1" x14ac:dyDescent="0.65"/>
    <row r="1764" ht="49.5" customHeight="1" x14ac:dyDescent="0.65"/>
    <row r="1765" ht="49.5" customHeight="1" x14ac:dyDescent="0.65"/>
    <row r="1766" ht="49.5" customHeight="1" x14ac:dyDescent="0.65"/>
    <row r="1767" ht="49.5" customHeight="1" x14ac:dyDescent="0.65"/>
    <row r="1768" ht="49.5" customHeight="1" x14ac:dyDescent="0.65"/>
    <row r="1769" ht="49.5" customHeight="1" x14ac:dyDescent="0.65"/>
    <row r="1770" ht="49.5" customHeight="1" x14ac:dyDescent="0.65"/>
    <row r="1771" ht="49.5" customHeight="1" x14ac:dyDescent="0.65"/>
    <row r="1772" ht="49.5" customHeight="1" x14ac:dyDescent="0.65"/>
    <row r="1773" ht="49.5" customHeight="1" x14ac:dyDescent="0.65"/>
    <row r="1774" ht="49.5" customHeight="1" x14ac:dyDescent="0.65"/>
    <row r="1775" ht="49.5" customHeight="1" x14ac:dyDescent="0.65"/>
    <row r="1776" ht="49.5" customHeight="1" x14ac:dyDescent="0.65"/>
    <row r="1777" ht="49.5" customHeight="1" x14ac:dyDescent="0.65"/>
    <row r="1778" ht="49.5" customHeight="1" x14ac:dyDescent="0.65"/>
    <row r="1779" ht="49.5" customHeight="1" x14ac:dyDescent="0.65"/>
    <row r="1780" ht="49.5" customHeight="1" x14ac:dyDescent="0.65"/>
    <row r="1781" ht="49.5" customHeight="1" x14ac:dyDescent="0.65"/>
    <row r="1782" ht="49.5" customHeight="1" x14ac:dyDescent="0.65"/>
    <row r="1783" ht="49.5" customHeight="1" x14ac:dyDescent="0.65"/>
    <row r="1784" ht="49.5" customHeight="1" x14ac:dyDescent="0.65"/>
    <row r="1785" ht="49.5" customHeight="1" x14ac:dyDescent="0.65"/>
    <row r="1786" ht="49.5" customHeight="1" x14ac:dyDescent="0.65"/>
    <row r="1787" ht="49.5" customHeight="1" x14ac:dyDescent="0.65"/>
    <row r="1788" ht="49.5" customHeight="1" x14ac:dyDescent="0.65"/>
    <row r="1789" ht="49.5" customHeight="1" x14ac:dyDescent="0.65"/>
    <row r="1790" ht="49.5" customHeight="1" x14ac:dyDescent="0.65"/>
    <row r="1791" ht="49.5" customHeight="1" x14ac:dyDescent="0.65"/>
    <row r="1792" ht="49.5" customHeight="1" x14ac:dyDescent="0.65"/>
    <row r="1793" ht="49.5" customHeight="1" x14ac:dyDescent="0.65"/>
    <row r="1794" ht="49.5" customHeight="1" x14ac:dyDescent="0.65"/>
    <row r="1795" ht="49.5" customHeight="1" x14ac:dyDescent="0.65"/>
    <row r="1796" ht="49.5" customHeight="1" x14ac:dyDescent="0.65"/>
    <row r="1797" ht="49.5" customHeight="1" x14ac:dyDescent="0.65"/>
    <row r="1798" ht="49.5" customHeight="1" x14ac:dyDescent="0.65"/>
    <row r="1799" ht="49.5" customHeight="1" x14ac:dyDescent="0.65"/>
    <row r="1800" ht="49.5" customHeight="1" x14ac:dyDescent="0.65"/>
    <row r="1801" ht="49.5" customHeight="1" x14ac:dyDescent="0.65"/>
    <row r="1802" ht="49.5" customHeight="1" x14ac:dyDescent="0.65"/>
    <row r="1803" ht="49.5" customHeight="1" x14ac:dyDescent="0.65"/>
    <row r="1804" ht="49.5" customHeight="1" x14ac:dyDescent="0.65"/>
    <row r="1805" ht="49.5" customHeight="1" x14ac:dyDescent="0.65"/>
    <row r="1806" ht="49.5" customHeight="1" x14ac:dyDescent="0.65"/>
    <row r="1807" ht="49.5" customHeight="1" x14ac:dyDescent="0.65"/>
    <row r="1808" ht="49.5" customHeight="1" x14ac:dyDescent="0.65"/>
    <row r="1809" ht="49.5" customHeight="1" x14ac:dyDescent="0.65"/>
    <row r="1810" ht="49.5" customHeight="1" x14ac:dyDescent="0.65"/>
    <row r="1811" ht="49.5" customHeight="1" x14ac:dyDescent="0.65"/>
    <row r="1812" ht="49.5" customHeight="1" x14ac:dyDescent="0.65"/>
    <row r="1813" ht="49.5" customHeight="1" x14ac:dyDescent="0.65"/>
    <row r="1814" ht="49.5" customHeight="1" x14ac:dyDescent="0.65"/>
    <row r="1815" ht="49.5" customHeight="1" x14ac:dyDescent="0.65"/>
    <row r="1816" ht="49.5" customHeight="1" x14ac:dyDescent="0.65"/>
    <row r="1817" ht="49.5" customHeight="1" x14ac:dyDescent="0.65"/>
    <row r="1818" ht="49.5" customHeight="1" x14ac:dyDescent="0.65"/>
    <row r="1819" ht="49.5" customHeight="1" x14ac:dyDescent="0.65"/>
    <row r="1820" ht="49.5" customHeight="1" x14ac:dyDescent="0.65"/>
    <row r="1821" ht="49.5" customHeight="1" x14ac:dyDescent="0.65"/>
    <row r="1822" ht="49.5" customHeight="1" x14ac:dyDescent="0.65"/>
    <row r="1823" ht="49.5" customHeight="1" x14ac:dyDescent="0.65"/>
    <row r="1824" ht="49.5" customHeight="1" x14ac:dyDescent="0.65"/>
    <row r="1825" ht="49.5" customHeight="1" x14ac:dyDescent="0.65"/>
    <row r="1826" ht="49.5" customHeight="1" x14ac:dyDescent="0.65"/>
    <row r="1827" ht="49.5" customHeight="1" x14ac:dyDescent="0.65"/>
    <row r="1828" ht="49.5" customHeight="1" x14ac:dyDescent="0.65"/>
    <row r="1829" ht="49.5" customHeight="1" x14ac:dyDescent="0.65"/>
    <row r="1830" ht="49.5" customHeight="1" x14ac:dyDescent="0.65"/>
    <row r="1831" ht="49.5" customHeight="1" x14ac:dyDescent="0.65"/>
    <row r="1832" ht="49.5" customHeight="1" x14ac:dyDescent="0.65"/>
    <row r="1833" ht="49.5" customHeight="1" x14ac:dyDescent="0.65"/>
    <row r="1834" ht="49.5" customHeight="1" x14ac:dyDescent="0.65"/>
    <row r="1835" ht="49.5" customHeight="1" x14ac:dyDescent="0.65"/>
    <row r="1836" ht="49.5" customHeight="1" x14ac:dyDescent="0.65"/>
    <row r="1837" ht="49.5" customHeight="1" x14ac:dyDescent="0.65"/>
    <row r="1838" ht="49.5" customHeight="1" x14ac:dyDescent="0.65"/>
    <row r="1839" ht="49.5" customHeight="1" x14ac:dyDescent="0.65"/>
    <row r="1840" ht="49.5" customHeight="1" x14ac:dyDescent="0.65"/>
    <row r="1841" ht="49.5" customHeight="1" x14ac:dyDescent="0.65"/>
    <row r="1842" ht="49.5" customHeight="1" x14ac:dyDescent="0.65"/>
    <row r="1843" ht="49.5" customHeight="1" x14ac:dyDescent="0.65"/>
    <row r="1844" ht="49.5" customHeight="1" x14ac:dyDescent="0.65"/>
    <row r="1845" ht="49.5" customHeight="1" x14ac:dyDescent="0.65"/>
    <row r="1846" ht="49.5" customHeight="1" x14ac:dyDescent="0.65"/>
    <row r="1847" ht="49.5" customHeight="1" x14ac:dyDescent="0.65"/>
    <row r="1848" ht="49.5" customHeight="1" x14ac:dyDescent="0.65"/>
    <row r="1849" ht="49.5" customHeight="1" x14ac:dyDescent="0.65"/>
    <row r="1850" ht="49.5" customHeight="1" x14ac:dyDescent="0.65"/>
    <row r="1851" ht="49.5" customHeight="1" x14ac:dyDescent="0.65"/>
    <row r="1852" ht="49.5" customHeight="1" x14ac:dyDescent="0.65"/>
    <row r="1853" ht="49.5" customHeight="1" x14ac:dyDescent="0.65"/>
    <row r="1854" ht="49.5" customHeight="1" x14ac:dyDescent="0.65"/>
    <row r="1855" ht="49.5" customHeight="1" x14ac:dyDescent="0.65"/>
    <row r="1856" ht="49.5" customHeight="1" x14ac:dyDescent="0.65"/>
    <row r="1857" ht="49.5" customHeight="1" x14ac:dyDescent="0.65"/>
    <row r="1858" ht="49.5" customHeight="1" x14ac:dyDescent="0.65"/>
    <row r="1859" ht="49.5" customHeight="1" x14ac:dyDescent="0.65"/>
    <row r="1860" ht="49.5" customHeight="1" x14ac:dyDescent="0.65"/>
    <row r="1861" ht="49.5" customHeight="1" x14ac:dyDescent="0.65"/>
    <row r="1862" ht="49.5" customHeight="1" x14ac:dyDescent="0.65"/>
    <row r="1863" ht="49.5" customHeight="1" x14ac:dyDescent="0.65"/>
    <row r="1864" ht="49.5" customHeight="1" x14ac:dyDescent="0.65"/>
    <row r="1865" ht="49.5" customHeight="1" x14ac:dyDescent="0.65"/>
    <row r="1866" ht="49.5" customHeight="1" x14ac:dyDescent="0.65"/>
    <row r="1867" ht="49.5" customHeight="1" x14ac:dyDescent="0.65"/>
    <row r="1868" ht="49.5" customHeight="1" x14ac:dyDescent="0.65"/>
    <row r="1869" ht="49.5" customHeight="1" x14ac:dyDescent="0.65"/>
    <row r="1870" ht="49.5" customHeight="1" x14ac:dyDescent="0.65"/>
    <row r="1871" ht="49.5" customHeight="1" x14ac:dyDescent="0.65"/>
    <row r="1872" ht="49.5" customHeight="1" x14ac:dyDescent="0.65"/>
    <row r="1873" ht="49.5" customHeight="1" x14ac:dyDescent="0.65"/>
    <row r="1874" ht="49.5" customHeight="1" x14ac:dyDescent="0.65"/>
    <row r="1875" ht="49.5" customHeight="1" x14ac:dyDescent="0.65"/>
    <row r="1876" ht="49.5" customHeight="1" x14ac:dyDescent="0.65"/>
    <row r="1877" ht="49.5" customHeight="1" x14ac:dyDescent="0.65"/>
    <row r="1878" ht="49.5" customHeight="1" x14ac:dyDescent="0.65"/>
    <row r="1879" ht="49.5" customHeight="1" x14ac:dyDescent="0.65"/>
    <row r="1880" ht="49.5" customHeight="1" x14ac:dyDescent="0.65"/>
    <row r="1881" ht="49.5" customHeight="1" x14ac:dyDescent="0.65"/>
    <row r="1882" ht="49.5" customHeight="1" x14ac:dyDescent="0.65"/>
    <row r="1883" ht="49.5" customHeight="1" x14ac:dyDescent="0.65"/>
    <row r="1884" ht="49.5" customHeight="1" x14ac:dyDescent="0.65"/>
    <row r="1885" ht="49.5" customHeight="1" x14ac:dyDescent="0.65"/>
    <row r="1886" ht="49.5" customHeight="1" x14ac:dyDescent="0.65"/>
    <row r="1887" ht="49.5" customHeight="1" x14ac:dyDescent="0.65"/>
    <row r="1888" ht="49.5" customHeight="1" x14ac:dyDescent="0.65"/>
    <row r="1889" ht="49.5" customHeight="1" x14ac:dyDescent="0.65"/>
    <row r="1890" ht="49.5" customHeight="1" x14ac:dyDescent="0.65"/>
    <row r="1891" ht="49.5" customHeight="1" x14ac:dyDescent="0.65"/>
    <row r="1892" ht="49.5" customHeight="1" x14ac:dyDescent="0.65"/>
    <row r="1893" ht="49.5" customHeight="1" x14ac:dyDescent="0.65"/>
    <row r="1894" ht="49.5" customHeight="1" x14ac:dyDescent="0.65"/>
    <row r="1895" ht="49.5" customHeight="1" x14ac:dyDescent="0.65"/>
    <row r="1896" ht="49.5" customHeight="1" x14ac:dyDescent="0.65"/>
    <row r="1897" ht="49.5" customHeight="1" x14ac:dyDescent="0.65"/>
    <row r="1898" ht="49.5" customHeight="1" x14ac:dyDescent="0.65"/>
    <row r="1899" ht="49.5" customHeight="1" x14ac:dyDescent="0.65"/>
    <row r="1900" ht="49.5" customHeight="1" x14ac:dyDescent="0.65"/>
    <row r="1901" ht="49.5" customHeight="1" x14ac:dyDescent="0.65"/>
    <row r="1902" ht="49.5" customHeight="1" x14ac:dyDescent="0.65"/>
    <row r="1903" ht="49.5" customHeight="1" x14ac:dyDescent="0.65"/>
    <row r="1904" ht="49.5" customHeight="1" x14ac:dyDescent="0.65"/>
    <row r="1905" ht="49.5" customHeight="1" x14ac:dyDescent="0.65"/>
    <row r="1906" ht="49.5" customHeight="1" x14ac:dyDescent="0.65"/>
    <row r="1907" ht="49.5" customHeight="1" x14ac:dyDescent="0.65"/>
    <row r="1908" ht="49.5" customHeight="1" x14ac:dyDescent="0.65"/>
    <row r="1909" ht="49.5" customHeight="1" x14ac:dyDescent="0.65"/>
    <row r="1910" ht="49.5" customHeight="1" x14ac:dyDescent="0.65"/>
    <row r="1911" ht="49.5" customHeight="1" x14ac:dyDescent="0.65"/>
    <row r="1912" ht="49.5" customHeight="1" x14ac:dyDescent="0.65"/>
    <row r="1913" ht="49.5" customHeight="1" x14ac:dyDescent="0.65"/>
    <row r="1914" ht="49.5" customHeight="1" x14ac:dyDescent="0.65"/>
    <row r="1915" ht="49.5" customHeight="1" x14ac:dyDescent="0.65"/>
    <row r="1916" ht="49.5" customHeight="1" x14ac:dyDescent="0.65"/>
    <row r="1917" ht="49.5" customHeight="1" x14ac:dyDescent="0.65"/>
    <row r="1918" ht="49.5" customHeight="1" x14ac:dyDescent="0.65"/>
    <row r="1919" ht="49.5" customHeight="1" x14ac:dyDescent="0.65"/>
    <row r="1920" ht="49.5" customHeight="1" x14ac:dyDescent="0.65"/>
    <row r="1921" ht="49.5" customHeight="1" x14ac:dyDescent="0.65"/>
    <row r="1922" ht="49.5" customHeight="1" x14ac:dyDescent="0.65"/>
    <row r="1923" ht="49.5" customHeight="1" x14ac:dyDescent="0.65"/>
    <row r="1924" ht="49.5" customHeight="1" x14ac:dyDescent="0.65"/>
    <row r="1925" ht="49.5" customHeight="1" x14ac:dyDescent="0.65"/>
    <row r="1926" ht="49.5" customHeight="1" x14ac:dyDescent="0.65"/>
    <row r="1927" ht="49.5" customHeight="1" x14ac:dyDescent="0.65"/>
    <row r="1928" ht="49.5" customHeight="1" x14ac:dyDescent="0.65"/>
    <row r="1929" ht="49.5" customHeight="1" x14ac:dyDescent="0.65"/>
    <row r="1930" ht="49.5" customHeight="1" x14ac:dyDescent="0.65"/>
    <row r="1931" ht="49.5" customHeight="1" x14ac:dyDescent="0.65"/>
    <row r="1932" ht="49.5" customHeight="1" x14ac:dyDescent="0.65"/>
    <row r="1933" ht="49.5" customHeight="1" x14ac:dyDescent="0.65"/>
    <row r="1934" ht="49.5" customHeight="1" x14ac:dyDescent="0.65"/>
    <row r="1935" ht="49.5" customHeight="1" x14ac:dyDescent="0.65"/>
    <row r="1936" ht="49.5" customHeight="1" x14ac:dyDescent="0.65"/>
    <row r="1937" ht="49.5" customHeight="1" x14ac:dyDescent="0.65"/>
    <row r="1938" ht="49.5" customHeight="1" x14ac:dyDescent="0.65"/>
    <row r="1939" ht="49.5" customHeight="1" x14ac:dyDescent="0.65"/>
    <row r="1940" ht="49.5" customHeight="1" x14ac:dyDescent="0.65"/>
    <row r="1941" ht="49.5" customHeight="1" x14ac:dyDescent="0.65"/>
    <row r="1942" ht="49.5" customHeight="1" x14ac:dyDescent="0.65"/>
    <row r="1943" ht="49.5" customHeight="1" x14ac:dyDescent="0.65"/>
    <row r="1944" ht="49.5" customHeight="1" x14ac:dyDescent="0.65"/>
    <row r="1945" ht="49.5" customHeight="1" x14ac:dyDescent="0.65"/>
    <row r="1946" ht="49.5" customHeight="1" x14ac:dyDescent="0.65"/>
    <row r="1947" ht="49.5" customHeight="1" x14ac:dyDescent="0.65"/>
    <row r="1948" ht="49.5" customHeight="1" x14ac:dyDescent="0.65"/>
    <row r="1949" ht="49.5" customHeight="1" x14ac:dyDescent="0.65"/>
    <row r="1950" ht="49.5" customHeight="1" x14ac:dyDescent="0.65"/>
    <row r="1951" ht="49.5" customHeight="1" x14ac:dyDescent="0.65"/>
    <row r="1952" ht="49.5" customHeight="1" x14ac:dyDescent="0.65"/>
    <row r="1953" ht="49.5" customHeight="1" x14ac:dyDescent="0.65"/>
    <row r="1954" ht="49.5" customHeight="1" x14ac:dyDescent="0.65"/>
    <row r="1955" ht="49.5" customHeight="1" x14ac:dyDescent="0.65"/>
    <row r="1956" ht="49.5" customHeight="1" x14ac:dyDescent="0.65"/>
    <row r="1957" ht="49.5" customHeight="1" x14ac:dyDescent="0.65"/>
    <row r="1958" ht="49.5" customHeight="1" x14ac:dyDescent="0.65"/>
    <row r="1959" ht="49.5" customHeight="1" x14ac:dyDescent="0.65"/>
    <row r="1960" ht="49.5" customHeight="1" x14ac:dyDescent="0.65"/>
    <row r="1961" ht="49.5" customHeight="1" x14ac:dyDescent="0.65"/>
    <row r="1962" ht="49.5" customHeight="1" x14ac:dyDescent="0.65"/>
    <row r="1963" ht="49.5" customHeight="1" x14ac:dyDescent="0.65"/>
    <row r="1964" ht="49.5" customHeight="1" x14ac:dyDescent="0.65"/>
    <row r="1965" ht="49.5" customHeight="1" x14ac:dyDescent="0.65"/>
    <row r="1966" ht="49.5" customHeight="1" x14ac:dyDescent="0.65"/>
    <row r="1967" ht="49.5" customHeight="1" x14ac:dyDescent="0.65"/>
    <row r="1968" ht="49.5" customHeight="1" x14ac:dyDescent="0.65"/>
    <row r="1969" ht="49.5" customHeight="1" x14ac:dyDescent="0.65"/>
    <row r="1970" ht="49.5" customHeight="1" x14ac:dyDescent="0.65"/>
    <row r="1971" ht="49.5" customHeight="1" x14ac:dyDescent="0.65"/>
    <row r="1972" ht="49.5" customHeight="1" x14ac:dyDescent="0.65"/>
    <row r="1973" ht="49.5" customHeight="1" x14ac:dyDescent="0.65"/>
    <row r="1974" ht="49.5" customHeight="1" x14ac:dyDescent="0.65"/>
    <row r="1975" ht="49.5" customHeight="1" x14ac:dyDescent="0.65"/>
    <row r="1976" ht="49.5" customHeight="1" x14ac:dyDescent="0.65"/>
    <row r="1977" ht="49.5" customHeight="1" x14ac:dyDescent="0.65"/>
    <row r="1978" ht="49.5" customHeight="1" x14ac:dyDescent="0.65"/>
    <row r="1979" ht="49.5" customHeight="1" x14ac:dyDescent="0.65"/>
    <row r="1980" ht="49.5" customHeight="1" x14ac:dyDescent="0.65"/>
    <row r="1981" ht="49.5" customHeight="1" x14ac:dyDescent="0.65"/>
    <row r="1982" ht="49.5" customHeight="1" x14ac:dyDescent="0.65"/>
    <row r="1983" ht="49.5" customHeight="1" x14ac:dyDescent="0.65"/>
    <row r="1984" ht="49.5" customHeight="1" x14ac:dyDescent="0.65"/>
    <row r="1985" ht="49.5" customHeight="1" x14ac:dyDescent="0.65"/>
    <row r="1986" ht="49.5" customHeight="1" x14ac:dyDescent="0.65"/>
    <row r="1987" ht="49.5" customHeight="1" x14ac:dyDescent="0.65"/>
    <row r="1988" ht="49.5" customHeight="1" x14ac:dyDescent="0.65"/>
    <row r="1989" ht="49.5" customHeight="1" x14ac:dyDescent="0.65"/>
    <row r="1990" ht="49.5" customHeight="1" x14ac:dyDescent="0.65"/>
    <row r="1991" ht="49.5" customHeight="1" x14ac:dyDescent="0.65"/>
    <row r="1992" ht="49.5" customHeight="1" x14ac:dyDescent="0.65"/>
    <row r="1993" ht="49.5" customHeight="1" x14ac:dyDescent="0.65"/>
    <row r="1994" ht="49.5" customHeight="1" x14ac:dyDescent="0.65"/>
    <row r="1995" ht="49.5" customHeight="1" x14ac:dyDescent="0.65"/>
    <row r="1996" ht="49.5" customHeight="1" x14ac:dyDescent="0.65"/>
    <row r="1997" ht="49.5" customHeight="1" x14ac:dyDescent="0.65"/>
    <row r="1998" ht="49.5" customHeight="1" x14ac:dyDescent="0.65"/>
    <row r="1999" ht="49.5" customHeight="1" x14ac:dyDescent="0.65"/>
    <row r="2000" ht="49.5" customHeight="1" x14ac:dyDescent="0.65"/>
    <row r="2001" ht="49.5" customHeight="1" x14ac:dyDescent="0.65"/>
    <row r="2002" ht="49.5" customHeight="1" x14ac:dyDescent="0.65"/>
    <row r="2003" ht="49.5" customHeight="1" x14ac:dyDescent="0.65"/>
    <row r="2004" ht="49.5" customHeight="1" x14ac:dyDescent="0.65"/>
    <row r="2005" ht="49.5" customHeight="1" x14ac:dyDescent="0.65"/>
    <row r="2006" ht="49.5" customHeight="1" x14ac:dyDescent="0.65"/>
    <row r="2007" ht="49.5" customHeight="1" x14ac:dyDescent="0.65"/>
    <row r="2008" ht="49.5" customHeight="1" x14ac:dyDescent="0.65"/>
    <row r="2009" ht="49.5" customHeight="1" x14ac:dyDescent="0.65"/>
    <row r="2010" ht="49.5" customHeight="1" x14ac:dyDescent="0.65"/>
    <row r="2011" ht="49.5" customHeight="1" x14ac:dyDescent="0.65"/>
    <row r="2012" ht="49.5" customHeight="1" x14ac:dyDescent="0.65"/>
    <row r="2013" ht="49.5" customHeight="1" x14ac:dyDescent="0.65"/>
    <row r="2014" ht="49.5" customHeight="1" x14ac:dyDescent="0.65"/>
    <row r="2015" ht="49.5" customHeight="1" x14ac:dyDescent="0.65"/>
    <row r="2016" ht="49.5" customHeight="1" x14ac:dyDescent="0.65"/>
    <row r="2017" ht="49.5" customHeight="1" x14ac:dyDescent="0.65"/>
    <row r="2018" ht="49.5" customHeight="1" x14ac:dyDescent="0.65"/>
    <row r="2019" ht="49.5" customHeight="1" x14ac:dyDescent="0.65"/>
    <row r="2020" ht="49.5" customHeight="1" x14ac:dyDescent="0.65"/>
    <row r="2021" ht="49.5" customHeight="1" x14ac:dyDescent="0.65"/>
    <row r="2022" ht="49.5" customHeight="1" x14ac:dyDescent="0.65"/>
    <row r="2023" ht="49.5" customHeight="1" x14ac:dyDescent="0.65"/>
    <row r="2024" ht="49.5" customHeight="1" x14ac:dyDescent="0.65"/>
    <row r="2025" ht="49.5" customHeight="1" x14ac:dyDescent="0.65"/>
    <row r="2026" ht="49.5" customHeight="1" x14ac:dyDescent="0.65"/>
    <row r="2027" ht="49.5" customHeight="1" x14ac:dyDescent="0.65"/>
    <row r="2028" ht="49.5" customHeight="1" x14ac:dyDescent="0.65"/>
    <row r="2029" ht="49.5" customHeight="1" x14ac:dyDescent="0.65"/>
    <row r="2030" ht="49.5" customHeight="1" x14ac:dyDescent="0.65"/>
    <row r="2031" ht="49.5" customHeight="1" x14ac:dyDescent="0.65"/>
    <row r="2032" ht="49.5" customHeight="1" x14ac:dyDescent="0.65"/>
    <row r="2033" ht="49.5" customHeight="1" x14ac:dyDescent="0.65"/>
    <row r="2034" ht="49.5" customHeight="1" x14ac:dyDescent="0.65"/>
    <row r="2035" ht="49.5" customHeight="1" x14ac:dyDescent="0.65"/>
    <row r="2036" ht="49.5" customHeight="1" x14ac:dyDescent="0.65"/>
    <row r="2037" ht="49.5" customHeight="1" x14ac:dyDescent="0.65"/>
    <row r="2038" ht="49.5" customHeight="1" x14ac:dyDescent="0.65"/>
    <row r="2039" ht="49.5" customHeight="1" x14ac:dyDescent="0.65"/>
    <row r="2040" ht="49.5" customHeight="1" x14ac:dyDescent="0.65"/>
    <row r="2041" ht="49.5" customHeight="1" x14ac:dyDescent="0.65"/>
    <row r="2042" ht="49.5" customHeight="1" x14ac:dyDescent="0.65"/>
    <row r="2043" ht="49.5" customHeight="1" x14ac:dyDescent="0.65"/>
    <row r="2044" ht="49.5" customHeight="1" x14ac:dyDescent="0.65"/>
    <row r="2045" ht="49.5" customHeight="1" x14ac:dyDescent="0.65"/>
    <row r="2046" ht="49.5" customHeight="1" x14ac:dyDescent="0.65"/>
    <row r="2047" ht="49.5" customHeight="1" x14ac:dyDescent="0.65"/>
    <row r="2048" ht="49.5" customHeight="1" x14ac:dyDescent="0.65"/>
    <row r="2049" ht="49.5" customHeight="1" x14ac:dyDescent="0.65"/>
    <row r="2050" ht="49.5" customHeight="1" x14ac:dyDescent="0.65"/>
    <row r="2051" ht="49.5" customHeight="1" x14ac:dyDescent="0.65"/>
    <row r="2052" ht="49.5" customHeight="1" x14ac:dyDescent="0.65"/>
    <row r="2053" ht="49.5" customHeight="1" x14ac:dyDescent="0.65"/>
    <row r="2054" ht="49.5" customHeight="1" x14ac:dyDescent="0.65"/>
    <row r="2055" ht="49.5" customHeight="1" x14ac:dyDescent="0.65"/>
    <row r="2056" ht="49.5" customHeight="1" x14ac:dyDescent="0.65"/>
    <row r="2057" ht="49.5" customHeight="1" x14ac:dyDescent="0.65"/>
    <row r="2058" ht="49.5" customHeight="1" x14ac:dyDescent="0.65"/>
    <row r="2059" ht="49.5" customHeight="1" x14ac:dyDescent="0.65"/>
    <row r="2060" ht="49.5" customHeight="1" x14ac:dyDescent="0.65"/>
    <row r="2061" ht="49.5" customHeight="1" x14ac:dyDescent="0.65"/>
    <row r="2062" ht="49.5" customHeight="1" x14ac:dyDescent="0.65"/>
    <row r="2063" ht="49.5" customHeight="1" x14ac:dyDescent="0.65"/>
    <row r="2064" ht="49.5" customHeight="1" x14ac:dyDescent="0.65"/>
    <row r="2065" ht="49.5" customHeight="1" x14ac:dyDescent="0.65"/>
    <row r="2066" ht="49.5" customHeight="1" x14ac:dyDescent="0.65"/>
    <row r="2067" ht="49.5" customHeight="1" x14ac:dyDescent="0.65"/>
    <row r="2068" ht="49.5" customHeight="1" x14ac:dyDescent="0.65"/>
    <row r="2069" ht="49.5" customHeight="1" x14ac:dyDescent="0.65"/>
    <row r="2070" ht="49.5" customHeight="1" x14ac:dyDescent="0.65"/>
    <row r="2071" ht="49.5" customHeight="1" x14ac:dyDescent="0.65"/>
    <row r="2072" ht="49.5" customHeight="1" x14ac:dyDescent="0.65"/>
    <row r="2073" ht="49.5" customHeight="1" x14ac:dyDescent="0.65"/>
    <row r="2074" ht="49.5" customHeight="1" x14ac:dyDescent="0.65"/>
    <row r="2075" ht="49.5" customHeight="1" x14ac:dyDescent="0.65"/>
    <row r="2076" ht="49.5" customHeight="1" x14ac:dyDescent="0.65"/>
    <row r="2077" ht="49.5" customHeight="1" x14ac:dyDescent="0.65"/>
    <row r="2078" ht="49.5" customHeight="1" x14ac:dyDescent="0.65"/>
    <row r="2079" ht="49.5" customHeight="1" x14ac:dyDescent="0.65"/>
    <row r="2080" ht="49.5" customHeight="1" x14ac:dyDescent="0.65"/>
    <row r="2081" ht="49.5" customHeight="1" x14ac:dyDescent="0.65"/>
    <row r="2082" ht="49.5" customHeight="1" x14ac:dyDescent="0.65"/>
    <row r="2083" ht="49.5" customHeight="1" x14ac:dyDescent="0.65"/>
    <row r="2084" ht="49.5" customHeight="1" x14ac:dyDescent="0.65"/>
    <row r="2085" ht="49.5" customHeight="1" x14ac:dyDescent="0.65"/>
    <row r="2086" ht="49.5" customHeight="1" x14ac:dyDescent="0.65"/>
    <row r="2087" ht="49.5" customHeight="1" x14ac:dyDescent="0.65"/>
    <row r="2088" ht="49.5" customHeight="1" x14ac:dyDescent="0.65"/>
    <row r="2089" ht="49.5" customHeight="1" x14ac:dyDescent="0.65"/>
    <row r="2090" ht="49.5" customHeight="1" x14ac:dyDescent="0.65"/>
    <row r="2091" ht="49.5" customHeight="1" x14ac:dyDescent="0.65"/>
    <row r="2092" ht="49.5" customHeight="1" x14ac:dyDescent="0.65"/>
    <row r="2093" ht="49.5" customHeight="1" x14ac:dyDescent="0.65"/>
    <row r="2094" ht="49.5" customHeight="1" x14ac:dyDescent="0.65"/>
    <row r="2095" ht="49.5" customHeight="1" x14ac:dyDescent="0.65"/>
    <row r="2096" ht="49.5" customHeight="1" x14ac:dyDescent="0.65"/>
    <row r="2097" ht="49.5" customHeight="1" x14ac:dyDescent="0.65"/>
    <row r="2098" ht="49.5" customHeight="1" x14ac:dyDescent="0.65"/>
    <row r="2099" ht="49.5" customHeight="1" x14ac:dyDescent="0.65"/>
    <row r="2100" ht="49.5" customHeight="1" x14ac:dyDescent="0.65"/>
    <row r="2101" ht="49.5" customHeight="1" x14ac:dyDescent="0.65"/>
    <row r="2102" ht="49.5" customHeight="1" x14ac:dyDescent="0.65"/>
    <row r="2103" ht="49.5" customHeight="1" x14ac:dyDescent="0.65"/>
    <row r="2104" ht="49.5" customHeight="1" x14ac:dyDescent="0.65"/>
    <row r="2105" ht="49.5" customHeight="1" x14ac:dyDescent="0.65"/>
    <row r="2106" ht="49.5" customHeight="1" x14ac:dyDescent="0.65"/>
    <row r="2107" ht="49.5" customHeight="1" x14ac:dyDescent="0.65"/>
    <row r="2108" ht="49.5" customHeight="1" x14ac:dyDescent="0.65"/>
    <row r="2109" ht="49.5" customHeight="1" x14ac:dyDescent="0.65"/>
    <row r="2110" ht="49.5" customHeight="1" x14ac:dyDescent="0.65"/>
    <row r="2111" ht="49.5" customHeight="1" x14ac:dyDescent="0.65"/>
    <row r="2112" ht="49.5" customHeight="1" x14ac:dyDescent="0.65"/>
    <row r="2113" ht="49.5" customHeight="1" x14ac:dyDescent="0.65"/>
    <row r="2114" ht="49.5" customHeight="1" x14ac:dyDescent="0.65"/>
    <row r="2115" ht="49.5" customHeight="1" x14ac:dyDescent="0.65"/>
    <row r="2116" ht="49.5" customHeight="1" x14ac:dyDescent="0.65"/>
    <row r="2117" ht="49.5" customHeight="1" x14ac:dyDescent="0.65"/>
    <row r="2118" ht="49.5" customHeight="1" x14ac:dyDescent="0.65"/>
    <row r="2119" ht="49.5" customHeight="1" x14ac:dyDescent="0.65"/>
    <row r="2120" ht="49.5" customHeight="1" x14ac:dyDescent="0.65"/>
    <row r="2121" ht="49.5" customHeight="1" x14ac:dyDescent="0.65"/>
    <row r="2122" ht="49.5" customHeight="1" x14ac:dyDescent="0.65"/>
    <row r="2123" ht="49.5" customHeight="1" x14ac:dyDescent="0.65"/>
    <row r="2124" ht="49.5" customHeight="1" x14ac:dyDescent="0.65"/>
    <row r="2125" ht="49.5" customHeight="1" x14ac:dyDescent="0.65"/>
    <row r="2126" ht="49.5" customHeight="1" x14ac:dyDescent="0.65"/>
    <row r="2127" ht="49.5" customHeight="1" x14ac:dyDescent="0.65"/>
    <row r="2128" ht="49.5" customHeight="1" x14ac:dyDescent="0.65"/>
    <row r="2129" ht="49.5" customHeight="1" x14ac:dyDescent="0.65"/>
    <row r="2130" ht="49.5" customHeight="1" x14ac:dyDescent="0.65"/>
    <row r="2131" ht="49.5" customHeight="1" x14ac:dyDescent="0.65"/>
    <row r="2132" ht="49.5" customHeight="1" x14ac:dyDescent="0.65"/>
    <row r="2133" ht="49.5" customHeight="1" x14ac:dyDescent="0.65"/>
    <row r="2134" ht="49.5" customHeight="1" x14ac:dyDescent="0.65"/>
    <row r="2135" ht="49.5" customHeight="1" x14ac:dyDescent="0.65"/>
    <row r="2136" ht="49.5" customHeight="1" x14ac:dyDescent="0.65"/>
    <row r="2137" ht="49.5" customHeight="1" x14ac:dyDescent="0.65"/>
    <row r="2138" ht="49.5" customHeight="1" x14ac:dyDescent="0.65"/>
    <row r="2139" ht="49.5" customHeight="1" x14ac:dyDescent="0.65"/>
    <row r="2140" ht="49.5" customHeight="1" x14ac:dyDescent="0.65"/>
    <row r="2141" ht="49.5" customHeight="1" x14ac:dyDescent="0.65"/>
    <row r="2142" ht="49.5" customHeight="1" x14ac:dyDescent="0.65"/>
    <row r="2143" ht="49.5" customHeight="1" x14ac:dyDescent="0.65"/>
    <row r="2144" ht="49.5" customHeight="1" x14ac:dyDescent="0.65"/>
    <row r="2145" ht="49.5" customHeight="1" x14ac:dyDescent="0.65"/>
    <row r="2146" ht="49.5" customHeight="1" x14ac:dyDescent="0.65"/>
    <row r="2147" ht="49.5" customHeight="1" x14ac:dyDescent="0.65"/>
    <row r="2148" ht="49.5" customHeight="1" x14ac:dyDescent="0.65"/>
    <row r="2149" ht="49.5" customHeight="1" x14ac:dyDescent="0.65"/>
    <row r="2150" ht="49.5" customHeight="1" x14ac:dyDescent="0.65"/>
    <row r="2151" ht="49.5" customHeight="1" x14ac:dyDescent="0.65"/>
    <row r="2152" ht="49.5" customHeight="1" x14ac:dyDescent="0.65"/>
    <row r="2153" ht="49.5" customHeight="1" x14ac:dyDescent="0.65"/>
    <row r="2154" ht="49.5" customHeight="1" x14ac:dyDescent="0.65"/>
    <row r="2155" ht="49.5" customHeight="1" x14ac:dyDescent="0.65"/>
    <row r="2156" ht="49.5" customHeight="1" x14ac:dyDescent="0.65"/>
    <row r="2157" ht="49.5" customHeight="1" x14ac:dyDescent="0.65"/>
    <row r="2158" ht="49.5" customHeight="1" x14ac:dyDescent="0.65"/>
    <row r="2159" ht="49.5" customHeight="1" x14ac:dyDescent="0.65"/>
    <row r="2160" ht="49.5" customHeight="1" x14ac:dyDescent="0.65"/>
    <row r="2161" ht="49.5" customHeight="1" x14ac:dyDescent="0.65"/>
    <row r="2162" ht="49.5" customHeight="1" x14ac:dyDescent="0.65"/>
    <row r="2163" ht="49.5" customHeight="1" x14ac:dyDescent="0.65"/>
    <row r="2164" ht="49.5" customHeight="1" x14ac:dyDescent="0.65"/>
    <row r="2165" ht="49.5" customHeight="1" x14ac:dyDescent="0.65"/>
    <row r="2166" ht="49.5" customHeight="1" x14ac:dyDescent="0.65"/>
    <row r="2167" ht="49.5" customHeight="1" x14ac:dyDescent="0.65"/>
    <row r="2168" ht="49.5" customHeight="1" x14ac:dyDescent="0.65"/>
    <row r="2169" ht="49.5" customHeight="1" x14ac:dyDescent="0.65"/>
    <row r="2170" ht="49.5" customHeight="1" x14ac:dyDescent="0.65"/>
    <row r="2171" ht="49.5" customHeight="1" x14ac:dyDescent="0.65"/>
    <row r="2172" ht="49.5" customHeight="1" x14ac:dyDescent="0.65"/>
    <row r="2173" ht="49.5" customHeight="1" x14ac:dyDescent="0.65"/>
    <row r="2174" ht="49.5" customHeight="1" x14ac:dyDescent="0.65"/>
    <row r="2175" ht="49.5" customHeight="1" x14ac:dyDescent="0.65"/>
    <row r="2176" ht="49.5" customHeight="1" x14ac:dyDescent="0.65"/>
    <row r="2177" ht="49.5" customHeight="1" x14ac:dyDescent="0.65"/>
    <row r="2178" ht="49.5" customHeight="1" x14ac:dyDescent="0.65"/>
    <row r="2179" ht="49.5" customHeight="1" x14ac:dyDescent="0.65"/>
    <row r="2180" ht="49.5" customHeight="1" x14ac:dyDescent="0.65"/>
    <row r="2181" ht="49.5" customHeight="1" x14ac:dyDescent="0.65"/>
    <row r="2182" ht="49.5" customHeight="1" x14ac:dyDescent="0.65"/>
    <row r="2183" ht="49.5" customHeight="1" x14ac:dyDescent="0.65"/>
    <row r="2184" ht="49.5" customHeight="1" x14ac:dyDescent="0.65"/>
    <row r="2185" ht="49.5" customHeight="1" x14ac:dyDescent="0.65"/>
    <row r="2186" ht="49.5" customHeight="1" x14ac:dyDescent="0.65"/>
    <row r="2187" ht="49.5" customHeight="1" x14ac:dyDescent="0.65"/>
    <row r="2188" ht="49.5" customHeight="1" x14ac:dyDescent="0.65"/>
    <row r="2189" ht="49.5" customHeight="1" x14ac:dyDescent="0.65"/>
    <row r="2190" ht="49.5" customHeight="1" x14ac:dyDescent="0.65"/>
    <row r="2191" ht="49.5" customHeight="1" x14ac:dyDescent="0.65"/>
    <row r="2192" ht="49.5" customHeight="1" x14ac:dyDescent="0.65"/>
    <row r="2193" ht="49.5" customHeight="1" x14ac:dyDescent="0.65"/>
    <row r="2194" ht="49.5" customHeight="1" x14ac:dyDescent="0.65"/>
    <row r="2195" ht="49.5" customHeight="1" x14ac:dyDescent="0.65"/>
    <row r="2196" ht="49.5" customHeight="1" x14ac:dyDescent="0.65"/>
    <row r="2197" ht="49.5" customHeight="1" x14ac:dyDescent="0.65"/>
    <row r="2198" ht="49.5" customHeight="1" x14ac:dyDescent="0.65"/>
    <row r="2199" ht="49.5" customHeight="1" x14ac:dyDescent="0.65"/>
    <row r="2200" ht="49.5" customHeight="1" x14ac:dyDescent="0.65"/>
    <row r="2201" ht="49.5" customHeight="1" x14ac:dyDescent="0.65"/>
    <row r="2202" ht="49.5" customHeight="1" x14ac:dyDescent="0.65"/>
    <row r="2203" ht="49.5" customHeight="1" x14ac:dyDescent="0.65"/>
    <row r="2204" ht="49.5" customHeight="1" x14ac:dyDescent="0.65"/>
    <row r="2205" ht="49.5" customHeight="1" x14ac:dyDescent="0.65"/>
    <row r="2206" ht="49.5" customHeight="1" x14ac:dyDescent="0.65"/>
    <row r="2207" ht="49.5" customHeight="1" x14ac:dyDescent="0.65"/>
    <row r="2208" ht="49.5" customHeight="1" x14ac:dyDescent="0.65"/>
    <row r="2209" ht="49.5" customHeight="1" x14ac:dyDescent="0.65"/>
    <row r="2210" ht="49.5" customHeight="1" x14ac:dyDescent="0.65"/>
    <row r="2211" ht="49.5" customHeight="1" x14ac:dyDescent="0.65"/>
    <row r="2212" ht="49.5" customHeight="1" x14ac:dyDescent="0.65"/>
    <row r="2213" ht="49.5" customHeight="1" x14ac:dyDescent="0.65"/>
    <row r="2214" ht="49.5" customHeight="1" x14ac:dyDescent="0.65"/>
    <row r="2215" ht="49.5" customHeight="1" x14ac:dyDescent="0.65"/>
    <row r="2216" ht="49.5" customHeight="1" x14ac:dyDescent="0.65"/>
    <row r="2217" ht="49.5" customHeight="1" x14ac:dyDescent="0.65"/>
    <row r="2218" ht="49.5" customHeight="1" x14ac:dyDescent="0.65"/>
    <row r="2219" ht="49.5" customHeight="1" x14ac:dyDescent="0.65"/>
    <row r="2220" ht="49.5" customHeight="1" x14ac:dyDescent="0.65"/>
    <row r="2221" ht="49.5" customHeight="1" x14ac:dyDescent="0.65"/>
    <row r="2222" ht="49.5" customHeight="1" x14ac:dyDescent="0.65"/>
    <row r="2223" ht="49.5" customHeight="1" x14ac:dyDescent="0.65"/>
    <row r="2224" ht="49.5" customHeight="1" x14ac:dyDescent="0.65"/>
    <row r="2225" ht="49.5" customHeight="1" x14ac:dyDescent="0.65"/>
    <row r="2226" ht="49.5" customHeight="1" x14ac:dyDescent="0.65"/>
    <row r="2227" ht="49.5" customHeight="1" x14ac:dyDescent="0.65"/>
    <row r="2228" ht="49.5" customHeight="1" x14ac:dyDescent="0.65"/>
    <row r="2229" ht="49.5" customHeight="1" x14ac:dyDescent="0.65"/>
    <row r="2230" ht="49.5" customHeight="1" x14ac:dyDescent="0.65"/>
    <row r="2231" ht="49.5" customHeight="1" x14ac:dyDescent="0.65"/>
    <row r="2232" ht="49.5" customHeight="1" x14ac:dyDescent="0.65"/>
    <row r="2233" ht="49.5" customHeight="1" x14ac:dyDescent="0.65"/>
    <row r="2234" ht="49.5" customHeight="1" x14ac:dyDescent="0.65"/>
    <row r="2235" ht="49.5" customHeight="1" x14ac:dyDescent="0.65"/>
    <row r="2236" ht="49.5" customHeight="1" x14ac:dyDescent="0.65"/>
    <row r="2237" ht="49.5" customHeight="1" x14ac:dyDescent="0.65"/>
    <row r="2238" ht="49.5" customHeight="1" x14ac:dyDescent="0.65"/>
    <row r="2239" ht="49.5" customHeight="1" x14ac:dyDescent="0.65"/>
    <row r="2240" ht="49.5" customHeight="1" x14ac:dyDescent="0.65"/>
    <row r="2241" ht="49.5" customHeight="1" x14ac:dyDescent="0.65"/>
    <row r="2242" ht="49.5" customHeight="1" x14ac:dyDescent="0.65"/>
    <row r="2243" ht="49.5" customHeight="1" x14ac:dyDescent="0.65"/>
    <row r="2244" ht="49.5" customHeight="1" x14ac:dyDescent="0.65"/>
    <row r="2245" ht="49.5" customHeight="1" x14ac:dyDescent="0.65"/>
    <row r="2246" ht="49.5" customHeight="1" x14ac:dyDescent="0.65"/>
    <row r="2247" ht="49.5" customHeight="1" x14ac:dyDescent="0.65"/>
    <row r="2248" ht="49.5" customHeight="1" x14ac:dyDescent="0.65"/>
    <row r="2249" ht="49.5" customHeight="1" x14ac:dyDescent="0.65"/>
    <row r="2250" ht="49.5" customHeight="1" x14ac:dyDescent="0.65"/>
    <row r="2251" ht="49.5" customHeight="1" x14ac:dyDescent="0.65"/>
    <row r="2252" ht="49.5" customHeight="1" x14ac:dyDescent="0.65"/>
    <row r="2253" ht="49.5" customHeight="1" x14ac:dyDescent="0.65"/>
    <row r="2254" ht="49.5" customHeight="1" x14ac:dyDescent="0.65"/>
    <row r="2255" ht="49.5" customHeight="1" x14ac:dyDescent="0.65"/>
    <row r="2256" ht="49.5" customHeight="1" x14ac:dyDescent="0.65"/>
    <row r="2257" ht="49.5" customHeight="1" x14ac:dyDescent="0.65"/>
    <row r="2258" ht="49.5" customHeight="1" x14ac:dyDescent="0.65"/>
    <row r="2259" ht="49.5" customHeight="1" x14ac:dyDescent="0.65"/>
    <row r="2260" ht="49.5" customHeight="1" x14ac:dyDescent="0.65"/>
    <row r="2261" ht="49.5" customHeight="1" x14ac:dyDescent="0.65"/>
    <row r="2262" ht="49.5" customHeight="1" x14ac:dyDescent="0.65"/>
    <row r="2263" ht="49.5" customHeight="1" x14ac:dyDescent="0.65"/>
    <row r="2264" ht="49.5" customHeight="1" x14ac:dyDescent="0.65"/>
    <row r="2265" ht="49.5" customHeight="1" x14ac:dyDescent="0.65"/>
    <row r="2266" ht="49.5" customHeight="1" x14ac:dyDescent="0.65"/>
    <row r="2267" ht="49.5" customHeight="1" x14ac:dyDescent="0.65"/>
    <row r="2268" ht="49.5" customHeight="1" x14ac:dyDescent="0.65"/>
    <row r="2269" ht="49.5" customHeight="1" x14ac:dyDescent="0.65"/>
    <row r="2270" ht="49.5" customHeight="1" x14ac:dyDescent="0.65"/>
    <row r="2271" ht="49.5" customHeight="1" x14ac:dyDescent="0.65"/>
    <row r="2272" ht="49.5" customHeight="1" x14ac:dyDescent="0.65"/>
    <row r="2273" ht="49.5" customHeight="1" x14ac:dyDescent="0.65"/>
    <row r="2274" ht="49.5" customHeight="1" x14ac:dyDescent="0.65"/>
    <row r="2275" ht="49.5" customHeight="1" x14ac:dyDescent="0.65"/>
    <row r="2276" ht="49.5" customHeight="1" x14ac:dyDescent="0.65"/>
    <row r="2277" ht="49.5" customHeight="1" x14ac:dyDescent="0.65"/>
    <row r="2278" ht="49.5" customHeight="1" x14ac:dyDescent="0.65"/>
    <row r="2279" ht="49.5" customHeight="1" x14ac:dyDescent="0.65"/>
    <row r="2280" ht="49.5" customHeight="1" x14ac:dyDescent="0.65"/>
    <row r="2281" ht="49.5" customHeight="1" x14ac:dyDescent="0.65"/>
    <row r="2282" ht="49.5" customHeight="1" x14ac:dyDescent="0.65"/>
    <row r="2283" ht="49.5" customHeight="1" x14ac:dyDescent="0.65"/>
    <row r="2284" ht="49.5" customHeight="1" x14ac:dyDescent="0.65"/>
    <row r="2285" ht="49.5" customHeight="1" x14ac:dyDescent="0.65"/>
    <row r="2286" ht="49.5" customHeight="1" x14ac:dyDescent="0.65"/>
    <row r="2287" ht="49.5" customHeight="1" x14ac:dyDescent="0.65"/>
    <row r="2288" ht="49.5" customHeight="1" x14ac:dyDescent="0.65"/>
    <row r="2289" ht="49.5" customHeight="1" x14ac:dyDescent="0.65"/>
    <row r="2290" ht="49.5" customHeight="1" x14ac:dyDescent="0.65"/>
    <row r="2291" ht="49.5" customHeight="1" x14ac:dyDescent="0.65"/>
    <row r="2292" ht="49.5" customHeight="1" x14ac:dyDescent="0.65"/>
    <row r="2293" ht="49.5" customHeight="1" x14ac:dyDescent="0.65"/>
  </sheetData>
  <autoFilter ref="A18:AH2293"/>
  <mergeCells count="30">
    <mergeCell ref="U4:AA8"/>
    <mergeCell ref="T15:T17"/>
    <mergeCell ref="E14:E17"/>
    <mergeCell ref="F14:F17"/>
    <mergeCell ref="G14:G17"/>
    <mergeCell ref="H14:H17"/>
    <mergeCell ref="J14:U14"/>
    <mergeCell ref="O15:O17"/>
    <mergeCell ref="U15:U17"/>
    <mergeCell ref="K15:K17"/>
    <mergeCell ref="L15:L17"/>
    <mergeCell ref="M15:M17"/>
    <mergeCell ref="N15:N17"/>
    <mergeCell ref="P15:P17"/>
    <mergeCell ref="J15:J17"/>
    <mergeCell ref="Z15:Z16"/>
    <mergeCell ref="A12:Z12"/>
    <mergeCell ref="AA15:AA16"/>
    <mergeCell ref="X14:AA14"/>
    <mergeCell ref="X15:Y15"/>
    <mergeCell ref="W14:W16"/>
    <mergeCell ref="V14:V17"/>
    <mergeCell ref="A14:A17"/>
    <mergeCell ref="C14:C17"/>
    <mergeCell ref="D14:D17"/>
    <mergeCell ref="I14:I17"/>
    <mergeCell ref="Q15:Q17"/>
    <mergeCell ref="R15:R17"/>
    <mergeCell ref="S15:S17"/>
    <mergeCell ref="B14:B17"/>
  </mergeCells>
  <printOptions horizontalCentered="1"/>
  <pageMargins left="0" right="0" top="0.39370078740157483" bottom="0.39370078740157483" header="0" footer="0"/>
  <pageSetup paperSize="9" scale="10" fitToHeight="0" orientation="landscape" r:id="rId1"/>
  <headerFooter differentFirst="1" scaleWithDoc="0">
    <oddHeader>&amp;C&amp;"Times New Roman,обычный"&amp;8&amp;P</oddHeader>
  </headerFooter>
  <colBreaks count="1" manualBreakCount="1">
    <brk id="27" max="7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Ветрова Екатерина Александровна</cp:lastModifiedBy>
  <cp:lastPrinted>2025-04-04T13:54:43Z</cp:lastPrinted>
  <dcterms:created xsi:type="dcterms:W3CDTF">2018-10-23T06:10:57Z</dcterms:created>
  <dcterms:modified xsi:type="dcterms:W3CDTF">2025-04-08T07:03:42Z</dcterms:modified>
</cp:coreProperties>
</file>